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5820" windowWidth="15480" windowHeight="6885"/>
  </bookViews>
  <sheets>
    <sheet name="APPENDIX 1 - viability app" sheetId="1" r:id="rId1"/>
    <sheet name="APPENDIX 2 - cash flow" sheetId="2" r:id="rId2"/>
  </sheets>
  <definedNames>
    <definedName name="_xlnm.Print_Area" localSheetId="0">'APPENDIX 1 - viability app'!$A$1:$V$109</definedName>
  </definedNames>
  <calcPr calcId="145621"/>
</workbook>
</file>

<file path=xl/calcChain.xml><?xml version="1.0" encoding="utf-8"?>
<calcChain xmlns="http://schemas.openxmlformats.org/spreadsheetml/2006/main">
  <c r="I83" i="1" l="1"/>
  <c r="L18" i="2"/>
  <c r="K18" i="2"/>
  <c r="J18" i="2"/>
  <c r="I18" i="2"/>
  <c r="H18" i="2"/>
  <c r="G18" i="2"/>
  <c r="J17" i="2"/>
  <c r="I17" i="2"/>
  <c r="H17" i="2"/>
  <c r="G17" i="2"/>
  <c r="F17" i="2"/>
  <c r="E17" i="2"/>
  <c r="D17" i="2"/>
  <c r="J16" i="2"/>
  <c r="J14" i="2"/>
  <c r="H14" i="2"/>
  <c r="F14" i="2"/>
  <c r="L10" i="2"/>
  <c r="J10" i="2"/>
  <c r="H10" i="2"/>
  <c r="K9" i="2"/>
  <c r="I14" i="2" s="1"/>
  <c r="J9" i="2"/>
  <c r="I9" i="2"/>
  <c r="H9" i="2"/>
  <c r="G9" i="2"/>
  <c r="E14" i="2" s="1"/>
  <c r="D13" i="2"/>
  <c r="D1" i="2"/>
  <c r="I22" i="1"/>
  <c r="I21" i="1"/>
  <c r="I86" i="1" s="1"/>
  <c r="I20" i="1"/>
  <c r="I19" i="1"/>
  <c r="I12" i="1"/>
  <c r="I13" i="1"/>
  <c r="I11" i="1"/>
  <c r="I85" i="1" s="1"/>
  <c r="I44" i="1"/>
  <c r="I41" i="1"/>
  <c r="I43" i="1"/>
  <c r="I42" i="1"/>
  <c r="I50" i="1"/>
  <c r="I49" i="1"/>
  <c r="S49" i="1" s="1"/>
  <c r="I48" i="1"/>
  <c r="I47" i="1"/>
  <c r="I46" i="1"/>
  <c r="I45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18" i="1"/>
  <c r="I17" i="1"/>
  <c r="I16" i="1"/>
  <c r="I15" i="1"/>
  <c r="I14" i="1"/>
  <c r="D52" i="1"/>
  <c r="E7" i="1"/>
  <c r="E6" i="1"/>
  <c r="G10" i="2" l="1"/>
  <c r="K10" i="2"/>
  <c r="G14" i="2"/>
  <c r="N17" i="2"/>
  <c r="I10" i="2"/>
  <c r="D21" i="2"/>
  <c r="D22" i="2" s="1"/>
  <c r="E20" i="2" s="1"/>
  <c r="N13" i="2"/>
  <c r="N9" i="2"/>
  <c r="M21" i="2"/>
  <c r="N18" i="2" l="1"/>
  <c r="E21" i="2"/>
  <c r="E22" i="2" s="1"/>
  <c r="N16" i="2"/>
  <c r="N14" i="2"/>
  <c r="N10" i="2"/>
  <c r="N11" i="2" s="1"/>
  <c r="F20" i="2" l="1"/>
  <c r="F21" i="2" l="1"/>
  <c r="F22" i="2" s="1"/>
  <c r="G20" i="2" l="1"/>
  <c r="G21" i="2" l="1"/>
  <c r="G22" i="2" s="1"/>
  <c r="H20" i="2" l="1"/>
  <c r="H21" i="2" l="1"/>
  <c r="H22" i="2" s="1"/>
  <c r="I20" i="2" l="1"/>
  <c r="I21" i="2" l="1"/>
  <c r="I22" i="2" s="1"/>
  <c r="J20" i="2" l="1"/>
  <c r="J21" i="2" s="1"/>
  <c r="J22" i="2" s="1"/>
  <c r="K20" i="2" l="1"/>
  <c r="K21" i="2" s="1"/>
  <c r="K22" i="2" s="1"/>
  <c r="L21" i="2" l="1"/>
  <c r="L22" i="2" s="1"/>
  <c r="M22" i="2" s="1"/>
  <c r="D25" i="2" s="1"/>
  <c r="F25" i="2" s="1"/>
  <c r="N20" i="2"/>
  <c r="D24" i="2" l="1"/>
  <c r="N21" i="2"/>
  <c r="S13" i="1" l="1"/>
  <c r="G52" i="1" l="1"/>
  <c r="I81" i="1" s="1"/>
  <c r="I52" i="1"/>
  <c r="I84" i="1" s="1"/>
  <c r="S44" i="1"/>
  <c r="S50" i="1"/>
  <c r="S48" i="1"/>
  <c r="S47" i="1"/>
  <c r="S46" i="1"/>
  <c r="S45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I67" i="1" l="1"/>
  <c r="S28" i="1"/>
  <c r="S25" i="1"/>
  <c r="S30" i="1" l="1"/>
  <c r="S29" i="1"/>
  <c r="S22" i="1"/>
  <c r="S21" i="1"/>
  <c r="S27" i="1"/>
  <c r="S26" i="1"/>
  <c r="H58" i="1" l="1"/>
  <c r="I58" i="1" s="1"/>
  <c r="I59" i="1" s="1"/>
  <c r="I60" i="1" l="1"/>
  <c r="I61" i="1"/>
  <c r="I73" i="1"/>
  <c r="S20" i="1"/>
  <c r="S19" i="1"/>
  <c r="S23" i="1"/>
  <c r="I64" i="1" l="1"/>
  <c r="J96" i="1"/>
  <c r="S11" i="1" l="1"/>
  <c r="S12" i="1"/>
  <c r="S15" i="1"/>
  <c r="S14" i="1"/>
  <c r="S24" i="1"/>
  <c r="S18" i="1"/>
  <c r="S17" i="1"/>
  <c r="S16" i="1"/>
  <c r="I74" i="1" l="1"/>
  <c r="I77" i="1" l="1"/>
  <c r="I82" i="1" l="1"/>
  <c r="I89" i="1" l="1"/>
  <c r="J92" i="1" s="1"/>
  <c r="J102" i="1" s="1"/>
  <c r="J108" i="1" s="1"/>
  <c r="G108" i="1" s="1"/>
</calcChain>
</file>

<file path=xl/sharedStrings.xml><?xml version="1.0" encoding="utf-8"?>
<sst xmlns="http://schemas.openxmlformats.org/spreadsheetml/2006/main" count="401" uniqueCount="114">
  <si>
    <t xml:space="preserve">Housing Viability Model: </t>
  </si>
  <si>
    <t>Brief Description</t>
  </si>
  <si>
    <t>Location</t>
  </si>
  <si>
    <t>Work in Progress</t>
  </si>
  <si>
    <t>Typology:</t>
  </si>
  <si>
    <t>Private &amp; Confidential</t>
  </si>
  <si>
    <t>Gross Development Value</t>
  </si>
  <si>
    <t>Gross Development Costs</t>
  </si>
  <si>
    <t>Site acquisition costs</t>
  </si>
  <si>
    <t>Site value</t>
  </si>
  <si>
    <t>Stamp duty</t>
  </si>
  <si>
    <t>Legal fees</t>
  </si>
  <si>
    <t>Agent fees</t>
  </si>
  <si>
    <t>Costs of construction</t>
  </si>
  <si>
    <t>Basic Buildcost</t>
  </si>
  <si>
    <t>Total construction costs</t>
  </si>
  <si>
    <t>Other costs</t>
  </si>
  <si>
    <t>Other S106/CIL costs</t>
  </si>
  <si>
    <t>Cost of finance</t>
  </si>
  <si>
    <t>Developer profit</t>
  </si>
  <si>
    <t>Total other costs</t>
  </si>
  <si>
    <t>@</t>
  </si>
  <si>
    <t>Professional Fees</t>
  </si>
  <si>
    <t>LESS</t>
  </si>
  <si>
    <r>
      <rPr>
        <b/>
        <sz val="11"/>
        <color indexed="9"/>
        <rFont val="Lucida Grande"/>
      </rPr>
      <t xml:space="preserve">Status: </t>
    </r>
    <r>
      <rPr>
        <sz val="11"/>
        <color indexed="9"/>
        <rFont val="Lucida Grande"/>
      </rPr>
      <t xml:space="preserve"> Draft</t>
    </r>
  </si>
  <si>
    <t>m2</t>
  </si>
  <si>
    <t>of Site value</t>
  </si>
  <si>
    <t>of Basic Build</t>
  </si>
  <si>
    <t>of Total Build</t>
  </si>
  <si>
    <t>per annum</t>
  </si>
  <si>
    <t>of Gross DV</t>
  </si>
  <si>
    <t>per m2</t>
  </si>
  <si>
    <t>Total GIA of Units</t>
  </si>
  <si>
    <t xml:space="preserve">FEATURING </t>
  </si>
  <si>
    <t>AFFORDABLE UNITS</t>
  </si>
  <si>
    <t>Abnormal and Enabling Works</t>
  </si>
  <si>
    <t>Source: Typical rate for a development of this scale and nature</t>
  </si>
  <si>
    <t>External Works (within curtilages &amp; communal)  @</t>
  </si>
  <si>
    <t>3 Bed</t>
  </si>
  <si>
    <t>For sale</t>
  </si>
  <si>
    <t>Average GIA per unit</t>
  </si>
  <si>
    <t>Diversion of overhead electricity cables</t>
  </si>
  <si>
    <t>OPEN MARKET UNITS</t>
  </si>
  <si>
    <t>Open Market</t>
  </si>
  <si>
    <t>=</t>
  </si>
  <si>
    <t>Acres @</t>
  </si>
  <si>
    <t>Plot Number</t>
  </si>
  <si>
    <t>Total Acquisition costs</t>
  </si>
  <si>
    <t>EQUALS RESIDUAL VALUE</t>
  </si>
  <si>
    <t>Equating to</t>
  </si>
  <si>
    <t>Asbestos - inc specialist scaffold</t>
  </si>
  <si>
    <t>Detailed Cashflow</t>
  </si>
  <si>
    <t>TOTALS</t>
  </si>
  <si>
    <t>Revenue</t>
  </si>
  <si>
    <t>Residential (Sales)</t>
  </si>
  <si>
    <t>Expenditure</t>
  </si>
  <si>
    <t>Cost of disposal (sales)</t>
  </si>
  <si>
    <t>Interest @</t>
  </si>
  <si>
    <t>Cashflow Total (per Quarter)</t>
  </si>
  <si>
    <t xml:space="preserve">Closing </t>
  </si>
  <si>
    <t>TOTAL INTEREST PAID</t>
  </si>
  <si>
    <t>TOTAL PROFIT AVAILABLE</t>
  </si>
  <si>
    <t>Equates to:</t>
  </si>
  <si>
    <t>Total acquisition costs</t>
  </si>
  <si>
    <t>Demolition of existing buildings</t>
  </si>
  <si>
    <t>Source: Advised by applicant and evidenced by two quotations from demolition contractors</t>
  </si>
  <si>
    <t>Source: Advised by applicant and evidenced by two quotations from specialist contractors</t>
  </si>
  <si>
    <t>Source: Advised by applicant and evidenced by detailed quantity surveyor schedule of costs</t>
  </si>
  <si>
    <t>Source: Advised by applicant and ecidenced by detailed quotation from utility provider</t>
  </si>
  <si>
    <r>
      <t>[Site Location</t>
    </r>
    <r>
      <rPr>
        <b/>
        <sz val="11"/>
        <color rgb="FFFF0000"/>
        <rFont val="Lucida Grande"/>
      </rPr>
      <t>]</t>
    </r>
  </si>
  <si>
    <t>Bespoke pro-forma viability appraisal template</t>
  </si>
  <si>
    <t>Affordable</t>
  </si>
  <si>
    <t>Source: Recent negotiated contracts with RPs</t>
  </si>
  <si>
    <t>2 Bed</t>
  </si>
  <si>
    <t>For rent</t>
  </si>
  <si>
    <r>
      <t xml:space="preserve">Gross site area is 2.93 acres.  </t>
    </r>
    <r>
      <rPr>
        <b/>
        <sz val="11"/>
        <color indexed="9"/>
        <rFont val="Helvetica Neue"/>
      </rPr>
      <t>Site value should be based on net developable area</t>
    </r>
  </si>
  <si>
    <t>2 Bed flat</t>
  </si>
  <si>
    <t>Source: Expected to fall in range of 10% to 20% of basic build cost (depending on nature of development and size of site)</t>
  </si>
  <si>
    <t>Source: Typical rate for a development of this scale and nature (see detailed cashflow assumptions on separate sheet)</t>
  </si>
  <si>
    <t>Source: Typical rate for a development of this scale and nature - Includes agent, advertising &amp; legal costs</t>
  </si>
  <si>
    <t>Off-site surface water drainage inc 3rd party compensation</t>
  </si>
  <si>
    <r>
      <t xml:space="preserve">Developer </t>
    </r>
    <r>
      <rPr>
        <b/>
        <sz val="11"/>
        <color indexed="9"/>
        <rFont val="Lucida Grande"/>
      </rPr>
      <t>minimum required return</t>
    </r>
    <r>
      <rPr>
        <sz val="11"/>
        <color indexed="9"/>
        <rFont val="Lucida Grande"/>
      </rPr>
      <t xml:space="preserve"> considered to = </t>
    </r>
    <r>
      <rPr>
        <b/>
        <sz val="11"/>
        <color indexed="9"/>
        <rFont val="Lucida Grande"/>
      </rPr>
      <t>15-20% of GDV</t>
    </r>
    <r>
      <rPr>
        <sz val="11"/>
        <color indexed="9"/>
        <rFont val="Lucida Grande"/>
      </rPr>
      <t xml:space="preserve"> for development of this nature</t>
    </r>
  </si>
  <si>
    <t>Contribution</t>
  </si>
  <si>
    <t>Current benchmark site value for Carlisle typically 150k to £250k per net acre for unconstrained greenfield sites</t>
  </si>
  <si>
    <t>UNIT development</t>
  </si>
  <si>
    <t>Subject to tenure assumptions, policy requirements and viability for affordable housing</t>
  </si>
  <si>
    <t>Date</t>
  </si>
  <si>
    <t>Source: Discounted Sale Affordable Unit @ 70% of MV</t>
  </si>
  <si>
    <t>4 Bed</t>
  </si>
  <si>
    <t>Source: Applicant Chartered Valuation Surveyor's opinion of market value</t>
  </si>
  <si>
    <t>Source: BCIS Average Prices - Housing mixed developments - New build (Median figure) - location adjusted to Carlisle - benchmarked against local evidence</t>
  </si>
  <si>
    <r>
      <t>per m</t>
    </r>
    <r>
      <rPr>
        <vertAlign val="superscript"/>
        <sz val="11"/>
        <color indexed="9"/>
        <rFont val="Lucida Grande"/>
      </rPr>
      <t>2</t>
    </r>
  </si>
  <si>
    <t>Cost of disposal (market units)</t>
  </si>
  <si>
    <t>Cost of disposal (disc sale units)</t>
  </si>
  <si>
    <t>Cost of disposal (aff rent units)</t>
  </si>
  <si>
    <t>Source: Typical rate for a development of this scale and nature - Includes legal costs</t>
  </si>
  <si>
    <t>Contingency</t>
  </si>
  <si>
    <t>Q1</t>
  </si>
  <si>
    <t>Q2</t>
  </si>
  <si>
    <t>Q3</t>
  </si>
  <si>
    <t>Q4 (12 mths)</t>
  </si>
  <si>
    <t>Q5</t>
  </si>
  <si>
    <t>Q6 (18 mths)</t>
  </si>
  <si>
    <t>Q7</t>
  </si>
  <si>
    <t>Q8 (24 mths)</t>
  </si>
  <si>
    <t>Q9</t>
  </si>
  <si>
    <t>Q10 (30 mths)</t>
  </si>
  <si>
    <t>Sales period</t>
  </si>
  <si>
    <t>pre-construction</t>
  </si>
  <si>
    <t>Construction period</t>
  </si>
  <si>
    <t>Sales</t>
  </si>
  <si>
    <t>Receipts from completed units</t>
  </si>
  <si>
    <t>S106 contributions</t>
  </si>
  <si>
    <t>Professional Fees and Town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</si>
</sst>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(#,##0.00\);&quot;-&quot;"/>
    <numFmt numFmtId="165" formatCode="#,##0;\(#,##0\);&quot;-&quot;"/>
    <numFmt numFmtId="166" formatCode="0.0%"/>
    <numFmt numFmtId="167" formatCode="&quot;£&quot;#,##0"/>
    <numFmt numFmtId="168" formatCode="#,##0.0;\(#,##0.0\);&quot;-&quot;"/>
  </numFmts>
  <fonts count="24">
    <font>
      <sz val="11"/>
      <color indexed="8"/>
      <name val="Helvetica Neue"/>
    </font>
    <font>
      <sz val="11"/>
      <color indexed="9"/>
      <name val="Helvetica Neue"/>
    </font>
    <font>
      <sz val="11"/>
      <color indexed="9"/>
      <name val="Lucida Grande"/>
    </font>
    <font>
      <b/>
      <sz val="14"/>
      <color indexed="9"/>
      <name val="Lucida Grande"/>
    </font>
    <font>
      <b/>
      <sz val="11"/>
      <color indexed="9"/>
      <name val="Lucida Grande"/>
    </font>
    <font>
      <sz val="11"/>
      <color indexed="10"/>
      <name val="Lucida Grande"/>
    </font>
    <font>
      <b/>
      <sz val="11"/>
      <color indexed="10"/>
      <name val="Lucida Grande"/>
    </font>
    <font>
      <sz val="11"/>
      <color indexed="10"/>
      <name val="Helvetica Neue"/>
    </font>
    <font>
      <b/>
      <i/>
      <sz val="11"/>
      <color indexed="9"/>
      <name val="Lucida Grande"/>
    </font>
    <font>
      <sz val="8"/>
      <name val="Helvetica Neue"/>
    </font>
    <font>
      <b/>
      <sz val="11"/>
      <name val="Lucida Grande"/>
    </font>
    <font>
      <b/>
      <sz val="11"/>
      <name val="Helvetica Neue"/>
    </font>
    <font>
      <sz val="10"/>
      <color indexed="8"/>
      <name val="Arial"/>
      <family val="2"/>
    </font>
    <font>
      <b/>
      <sz val="11"/>
      <color theme="0"/>
      <name val="Lucida Grande"/>
    </font>
    <font>
      <b/>
      <sz val="14"/>
      <color theme="0"/>
      <name val="Lucida Grande"/>
    </font>
    <font>
      <b/>
      <sz val="11"/>
      <color rgb="FFFFFF00"/>
      <name val="Lucida Grande"/>
    </font>
    <font>
      <sz val="11"/>
      <color rgb="FFFFFF00"/>
      <name val="Lucida Grande"/>
    </font>
    <font>
      <b/>
      <sz val="11"/>
      <color indexed="9"/>
      <name val="Helvetica Neue"/>
    </font>
    <font>
      <b/>
      <sz val="11"/>
      <color rgb="FFFF0000"/>
      <name val="Lucida Grande"/>
    </font>
    <font>
      <sz val="11"/>
      <color rgb="FFFF0000"/>
      <name val="Lucida Grande"/>
    </font>
    <font>
      <sz val="11"/>
      <name val="Lucida Grande"/>
    </font>
    <font>
      <sz val="11"/>
      <color theme="0"/>
      <name val="Lucida Grande"/>
    </font>
    <font>
      <b/>
      <sz val="11"/>
      <color theme="1"/>
      <name val="Lucida Grande"/>
    </font>
    <font>
      <vertAlign val="superscript"/>
      <sz val="11"/>
      <color indexed="9"/>
      <name val="Lucida Grande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7B94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9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  <diagonal/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/>
      <diagonal/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  <diagonal/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medium">
        <color indexed="64"/>
      </left>
      <right style="thin">
        <color indexed="11"/>
      </right>
      <top style="medium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thin">
        <color indexed="11"/>
      </bottom>
      <diagonal/>
    </border>
    <border>
      <left style="medium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11"/>
      </right>
      <top style="thin">
        <color indexed="11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64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medium">
        <color indexed="64"/>
      </right>
      <top style="medium">
        <color indexed="64"/>
      </top>
      <bottom style="thin">
        <color indexed="11"/>
      </bottom>
      <diagonal/>
    </border>
    <border>
      <left style="thin">
        <color indexed="11"/>
      </left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medium">
        <color indexed="64"/>
      </bottom>
      <diagonal/>
    </border>
    <border>
      <left/>
      <right style="thin">
        <color indexed="11"/>
      </right>
      <top style="thin">
        <color indexed="11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 style="thin">
        <color indexed="11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medium">
        <color indexed="64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/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/>
      <diagonal/>
    </border>
    <border>
      <left style="medium">
        <color indexed="64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 style="thin">
        <color indexed="11"/>
      </right>
      <top/>
      <bottom style="medium">
        <color indexed="64"/>
      </bottom>
      <diagonal/>
    </border>
    <border>
      <left style="thin">
        <color indexed="1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1"/>
      </left>
      <right style="medium">
        <color indexed="64"/>
      </right>
      <top/>
      <bottom style="thin">
        <color indexed="64"/>
      </bottom>
      <diagonal/>
    </border>
    <border>
      <left style="thin">
        <color indexed="1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11"/>
      </right>
      <top/>
      <bottom/>
      <diagonal/>
    </border>
    <border>
      <left style="thin">
        <color indexed="64"/>
      </left>
      <right style="thin">
        <color indexed="11"/>
      </right>
      <top/>
      <bottom style="thin">
        <color indexed="64"/>
      </bottom>
      <diagonal/>
    </border>
    <border>
      <left style="thin">
        <color indexed="1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medium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351">
    <xf numFmtId="0" fontId="0" fillId="0" borderId="0" xfId="0" applyAlignment="1"/>
    <xf numFmtId="0" fontId="1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left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left" vertical="center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left" vertical="center"/>
    </xf>
    <xf numFmtId="164" fontId="2" fillId="2" borderId="17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left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19" xfId="0" applyNumberFormat="1" applyFont="1" applyFill="1" applyBorder="1" applyAlignment="1">
      <alignment horizontal="right" vertical="center"/>
    </xf>
    <xf numFmtId="165" fontId="2" fillId="2" borderId="19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 vertical="top"/>
    </xf>
    <xf numFmtId="9" fontId="2" fillId="2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right" vertical="center"/>
    </xf>
    <xf numFmtId="164" fontId="5" fillId="3" borderId="12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Alignment="1">
      <alignment vertical="top"/>
    </xf>
    <xf numFmtId="165" fontId="6" fillId="3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right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Alignment="1">
      <alignment vertical="top"/>
    </xf>
    <xf numFmtId="164" fontId="2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vertical="top"/>
    </xf>
    <xf numFmtId="164" fontId="2" fillId="2" borderId="2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5" fillId="5" borderId="19" xfId="0" applyNumberFormat="1" applyFont="1" applyFill="1" applyBorder="1" applyAlignment="1">
      <alignment horizontal="left" vertical="center"/>
    </xf>
    <xf numFmtId="164" fontId="5" fillId="5" borderId="19" xfId="0" applyNumberFormat="1" applyFont="1" applyFill="1" applyBorder="1" applyAlignment="1">
      <alignment horizontal="center" vertical="center"/>
    </xf>
    <xf numFmtId="164" fontId="5" fillId="5" borderId="23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right" vertical="center"/>
    </xf>
    <xf numFmtId="164" fontId="5" fillId="5" borderId="18" xfId="0" applyNumberFormat="1" applyFont="1" applyFill="1" applyBorder="1" applyAlignment="1">
      <alignment horizontal="left" vertical="center"/>
    </xf>
    <xf numFmtId="164" fontId="5" fillId="5" borderId="18" xfId="0" applyNumberFormat="1" applyFont="1" applyFill="1" applyBorder="1" applyAlignment="1">
      <alignment horizontal="center" vertical="center"/>
    </xf>
    <xf numFmtId="164" fontId="5" fillId="5" borderId="30" xfId="0" applyNumberFormat="1" applyFont="1" applyFill="1" applyBorder="1" applyAlignment="1">
      <alignment horizontal="center" vertical="center"/>
    </xf>
    <xf numFmtId="164" fontId="10" fillId="5" borderId="31" xfId="0" applyNumberFormat="1" applyFont="1" applyFill="1" applyBorder="1" applyAlignment="1">
      <alignment horizontal="left" vertical="center"/>
    </xf>
    <xf numFmtId="164" fontId="10" fillId="5" borderId="32" xfId="0" applyNumberFormat="1" applyFont="1" applyFill="1" applyBorder="1" applyAlignment="1">
      <alignment horizontal="center" vertical="center"/>
    </xf>
    <xf numFmtId="164" fontId="10" fillId="5" borderId="33" xfId="0" applyNumberFormat="1" applyFont="1" applyFill="1" applyBorder="1" applyAlignment="1">
      <alignment horizontal="left" vertical="center"/>
    </xf>
    <xf numFmtId="0" fontId="11" fillId="5" borderId="0" xfId="0" applyNumberFormat="1" applyFont="1" applyFill="1" applyAlignment="1">
      <alignment vertical="top"/>
    </xf>
    <xf numFmtId="164" fontId="2" fillId="0" borderId="12" xfId="0" applyNumberFormat="1" applyFont="1" applyFill="1" applyBorder="1" applyAlignment="1">
      <alignment horizontal="left" vertical="center"/>
    </xf>
    <xf numFmtId="164" fontId="5" fillId="5" borderId="22" xfId="0" applyNumberFormat="1" applyFont="1" applyFill="1" applyBorder="1" applyAlignment="1">
      <alignment horizontal="center" vertical="center"/>
    </xf>
    <xf numFmtId="164" fontId="5" fillId="5" borderId="34" xfId="0" applyNumberFormat="1" applyFont="1" applyFill="1" applyBorder="1" applyAlignment="1">
      <alignment horizontal="center" vertical="center"/>
    </xf>
    <xf numFmtId="164" fontId="5" fillId="6" borderId="12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left" vertical="center"/>
    </xf>
    <xf numFmtId="164" fontId="6" fillId="4" borderId="24" xfId="0" applyNumberFormat="1" applyFont="1" applyFill="1" applyBorder="1" applyAlignment="1">
      <alignment horizontal="left" vertical="center"/>
    </xf>
    <xf numFmtId="164" fontId="2" fillId="2" borderId="36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left" vertical="center"/>
    </xf>
    <xf numFmtId="164" fontId="2" fillId="2" borderId="37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horizontal="left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/>
    </xf>
    <xf numFmtId="164" fontId="5" fillId="4" borderId="39" xfId="0" applyNumberFormat="1" applyFont="1" applyFill="1" applyBorder="1" applyAlignment="1">
      <alignment horizontal="center" vertical="center"/>
    </xf>
    <xf numFmtId="164" fontId="2" fillId="2" borderId="40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2" fillId="2" borderId="41" xfId="0" applyNumberFormat="1" applyFont="1" applyFill="1" applyBorder="1" applyAlignment="1">
      <alignment horizontal="left" vertical="center"/>
    </xf>
    <xf numFmtId="164" fontId="2" fillId="2" borderId="41" xfId="0" applyNumberFormat="1" applyFont="1" applyFill="1" applyBorder="1" applyAlignment="1">
      <alignment horizontal="center" vertical="center"/>
    </xf>
    <xf numFmtId="164" fontId="2" fillId="2" borderId="41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left" vertical="center"/>
    </xf>
    <xf numFmtId="164" fontId="5" fillId="3" borderId="25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right" vertical="center"/>
    </xf>
    <xf numFmtId="165" fontId="2" fillId="2" borderId="25" xfId="0" applyNumberFormat="1" applyFont="1" applyFill="1" applyBorder="1" applyAlignment="1">
      <alignment horizontal="center" vertical="center"/>
    </xf>
    <xf numFmtId="1" fontId="0" fillId="0" borderId="0" xfId="0" applyNumberFormat="1" applyBorder="1">
      <alignment vertical="top"/>
    </xf>
    <xf numFmtId="164" fontId="5" fillId="6" borderId="39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8" xfId="0" applyNumberFormat="1" applyFont="1" applyFill="1" applyBorder="1" applyAlignment="1">
      <alignment horizontal="center" vertical="center"/>
    </xf>
    <xf numFmtId="164" fontId="2" fillId="2" borderId="4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2" fillId="2" borderId="48" xfId="0" applyNumberFormat="1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/>
    </xf>
    <xf numFmtId="167" fontId="2" fillId="7" borderId="1" xfId="0" applyNumberFormat="1" applyFont="1" applyFill="1" applyBorder="1" applyAlignment="1">
      <alignment horizontal="right" vertical="center"/>
    </xf>
    <xf numFmtId="164" fontId="2" fillId="7" borderId="37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horizontal="right" vertical="center"/>
    </xf>
    <xf numFmtId="167" fontId="6" fillId="4" borderId="1" xfId="0" applyNumberFormat="1" applyFont="1" applyFill="1" applyBorder="1" applyAlignment="1">
      <alignment horizontal="right" vertical="center"/>
    </xf>
    <xf numFmtId="167" fontId="6" fillId="6" borderId="1" xfId="0" applyNumberFormat="1" applyFont="1" applyFill="1" applyBorder="1" applyAlignment="1">
      <alignment horizontal="right" vertical="center"/>
    </xf>
    <xf numFmtId="167" fontId="4" fillId="2" borderId="1" xfId="0" applyNumberFormat="1" applyFont="1" applyFill="1" applyBorder="1" applyAlignment="1">
      <alignment horizontal="right" vertical="center"/>
    </xf>
    <xf numFmtId="167" fontId="10" fillId="5" borderId="35" xfId="0" applyNumberFormat="1" applyFont="1" applyFill="1" applyBorder="1" applyAlignment="1">
      <alignment horizontal="right" vertical="center"/>
    </xf>
    <xf numFmtId="164" fontId="2" fillId="9" borderId="1" xfId="0" applyNumberFormat="1" applyFont="1" applyFill="1" applyBorder="1" applyAlignment="1">
      <alignment horizontal="left" vertical="center"/>
    </xf>
    <xf numFmtId="164" fontId="2" fillId="9" borderId="19" xfId="0" applyNumberFormat="1" applyFont="1" applyFill="1" applyBorder="1" applyAlignment="1">
      <alignment horizontal="center" vertical="center"/>
    </xf>
    <xf numFmtId="164" fontId="2" fillId="9" borderId="12" xfId="0" applyNumberFormat="1" applyFont="1" applyFill="1" applyBorder="1" applyAlignment="1">
      <alignment horizontal="center" vertical="center"/>
    </xf>
    <xf numFmtId="167" fontId="2" fillId="9" borderId="12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6" fillId="4" borderId="50" xfId="0" applyNumberFormat="1" applyFont="1" applyFill="1" applyBorder="1" applyAlignment="1">
      <alignment horizontal="center" vertical="center"/>
    </xf>
    <xf numFmtId="164" fontId="4" fillId="2" borderId="50" xfId="0" applyNumberFormat="1" applyFont="1" applyFill="1" applyBorder="1" applyAlignment="1">
      <alignment horizontal="center" vertical="center"/>
    </xf>
    <xf numFmtId="164" fontId="2" fillId="2" borderId="50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top"/>
    </xf>
    <xf numFmtId="164" fontId="2" fillId="2" borderId="0" xfId="0" applyNumberFormat="1" applyFont="1" applyFill="1" applyBorder="1" applyAlignment="1">
      <alignment horizontal="left"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2" fillId="2" borderId="51" xfId="0" applyNumberFormat="1" applyFont="1" applyFill="1" applyBorder="1" applyAlignment="1">
      <alignment horizontal="left" vertical="center"/>
    </xf>
    <xf numFmtId="164" fontId="2" fillId="0" borderId="52" xfId="0" applyNumberFormat="1" applyFont="1" applyFill="1" applyBorder="1" applyAlignment="1">
      <alignment horizontal="left" vertical="center"/>
    </xf>
    <xf numFmtId="164" fontId="4" fillId="0" borderId="32" xfId="0" applyNumberFormat="1" applyFont="1" applyFill="1" applyBorder="1" applyAlignment="1">
      <alignment horizontal="right" vertical="center"/>
    </xf>
    <xf numFmtId="164" fontId="4" fillId="2" borderId="33" xfId="0" applyNumberFormat="1" applyFont="1" applyFill="1" applyBorder="1" applyAlignment="1">
      <alignment horizontal="left" vertical="center"/>
    </xf>
    <xf numFmtId="165" fontId="4" fillId="0" borderId="32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>
      <alignment horizontal="left" vertical="center"/>
    </xf>
    <xf numFmtId="164" fontId="4" fillId="2" borderId="53" xfId="0" applyNumberFormat="1" applyFont="1" applyFill="1" applyBorder="1" applyAlignment="1">
      <alignment horizontal="left" vertical="center"/>
    </xf>
    <xf numFmtId="167" fontId="6" fillId="4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right" vertical="center"/>
    </xf>
    <xf numFmtId="164" fontId="5" fillId="0" borderId="39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13" fillId="8" borderId="11" xfId="0" applyNumberFormat="1" applyFont="1" applyFill="1" applyBorder="1" applyAlignment="1">
      <alignment horizontal="center" vertical="center"/>
    </xf>
    <xf numFmtId="164" fontId="4" fillId="10" borderId="1" xfId="0" applyNumberFormat="1" applyFont="1" applyFill="1" applyBorder="1" applyAlignment="1">
      <alignment horizontal="center" vertical="center"/>
    </xf>
    <xf numFmtId="164" fontId="2" fillId="10" borderId="12" xfId="0" applyNumberFormat="1" applyFont="1" applyFill="1" applyBorder="1" applyAlignment="1">
      <alignment horizontal="right" vertical="center"/>
    </xf>
    <xf numFmtId="164" fontId="2" fillId="9" borderId="1" xfId="0" applyNumberFormat="1" applyFont="1" applyFill="1" applyBorder="1" applyAlignment="1">
      <alignment vertical="center"/>
    </xf>
    <xf numFmtId="164" fontId="2" fillId="9" borderId="19" xfId="0" applyNumberFormat="1" applyFont="1" applyFill="1" applyBorder="1" applyAlignment="1">
      <alignment vertical="center"/>
    </xf>
    <xf numFmtId="167" fontId="2" fillId="9" borderId="1" xfId="0" applyNumberFormat="1" applyFont="1" applyFill="1" applyBorder="1" applyAlignment="1">
      <alignment horizontal="right" vertical="center"/>
    </xf>
    <xf numFmtId="164" fontId="2" fillId="9" borderId="10" xfId="0" applyNumberFormat="1" applyFont="1" applyFill="1" applyBorder="1" applyAlignment="1">
      <alignment vertical="center"/>
    </xf>
    <xf numFmtId="0" fontId="1" fillId="9" borderId="0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left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2" borderId="49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left" vertical="center"/>
    </xf>
    <xf numFmtId="164" fontId="2" fillId="9" borderId="32" xfId="0" applyNumberFormat="1" applyFont="1" applyFill="1" applyBorder="1" applyAlignment="1">
      <alignment vertical="center"/>
    </xf>
    <xf numFmtId="167" fontId="2" fillId="9" borderId="32" xfId="0" applyNumberFormat="1" applyFont="1" applyFill="1" applyBorder="1" applyAlignment="1">
      <alignment horizontal="right" vertical="center"/>
    </xf>
    <xf numFmtId="165" fontId="2" fillId="9" borderId="33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left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13" fillId="8" borderId="32" xfId="0" applyNumberFormat="1" applyFont="1" applyFill="1" applyBorder="1" applyAlignment="1">
      <alignment horizontal="right" vertical="center"/>
    </xf>
    <xf numFmtId="10" fontId="13" fillId="8" borderId="32" xfId="0" applyNumberFormat="1" applyFont="1" applyFill="1" applyBorder="1" applyAlignment="1">
      <alignment horizontal="left" vertical="center"/>
    </xf>
    <xf numFmtId="164" fontId="2" fillId="2" borderId="58" xfId="0" applyNumberFormat="1" applyFont="1" applyFill="1" applyBorder="1" applyAlignment="1">
      <alignment horizontal="left" vertical="center"/>
    </xf>
    <xf numFmtId="164" fontId="2" fillId="2" borderId="59" xfId="0" applyNumberFormat="1" applyFont="1" applyFill="1" applyBorder="1" applyAlignment="1">
      <alignment horizontal="center" vertical="center"/>
    </xf>
    <xf numFmtId="164" fontId="4" fillId="2" borderId="59" xfId="0" applyNumberFormat="1" applyFont="1" applyFill="1" applyBorder="1" applyAlignment="1">
      <alignment horizontal="center" vertical="center"/>
    </xf>
    <xf numFmtId="164" fontId="4" fillId="2" borderId="60" xfId="0" applyNumberFormat="1" applyFont="1" applyFill="1" applyBorder="1" applyAlignment="1">
      <alignment horizontal="center" vertical="center"/>
    </xf>
    <xf numFmtId="164" fontId="5" fillId="4" borderId="34" xfId="0" applyNumberFormat="1" applyFont="1" applyFill="1" applyBorder="1" applyAlignment="1">
      <alignment horizontal="center" vertical="center"/>
    </xf>
    <xf numFmtId="165" fontId="4" fillId="0" borderId="5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2" borderId="61" xfId="0" applyNumberFormat="1" applyFont="1" applyFill="1" applyBorder="1" applyAlignment="1">
      <alignment horizontal="left" vertical="center"/>
    </xf>
    <xf numFmtId="165" fontId="2" fillId="2" borderId="41" xfId="0" applyNumberFormat="1" applyFont="1" applyFill="1" applyBorder="1" applyAlignment="1">
      <alignment horizontal="right" vertical="center"/>
    </xf>
    <xf numFmtId="164" fontId="15" fillId="12" borderId="61" xfId="0" applyNumberFormat="1" applyFont="1" applyFill="1" applyBorder="1" applyAlignment="1">
      <alignment horizontal="left" vertical="center"/>
    </xf>
    <xf numFmtId="164" fontId="16" fillId="12" borderId="41" xfId="0" applyNumberFormat="1" applyFont="1" applyFill="1" applyBorder="1" applyAlignment="1">
      <alignment horizontal="center" vertical="center"/>
    </xf>
    <xf numFmtId="164" fontId="6" fillId="4" borderId="62" xfId="0" applyNumberFormat="1" applyFont="1" applyFill="1" applyBorder="1" applyAlignment="1">
      <alignment horizontal="left" vertical="center"/>
    </xf>
    <xf numFmtId="164" fontId="6" fillId="4" borderId="63" xfId="0" applyNumberFormat="1" applyFont="1" applyFill="1" applyBorder="1" applyAlignment="1">
      <alignment horizontal="left" vertical="center"/>
    </xf>
    <xf numFmtId="164" fontId="6" fillId="4" borderId="64" xfId="0" applyNumberFormat="1" applyFont="1" applyFill="1" applyBorder="1" applyAlignment="1">
      <alignment horizontal="left" vertical="center"/>
    </xf>
    <xf numFmtId="164" fontId="4" fillId="2" borderId="65" xfId="0" applyNumberFormat="1" applyFont="1" applyFill="1" applyBorder="1" applyAlignment="1">
      <alignment horizontal="left" vertical="center"/>
    </xf>
    <xf numFmtId="164" fontId="2" fillId="2" borderId="66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/>
    </xf>
    <xf numFmtId="164" fontId="2" fillId="2" borderId="67" xfId="0" applyNumberFormat="1" applyFont="1" applyFill="1" applyBorder="1" applyAlignment="1">
      <alignment horizontal="center" vertical="center"/>
    </xf>
    <xf numFmtId="164" fontId="2" fillId="0" borderId="68" xfId="0" applyNumberFormat="1" applyFont="1" applyFill="1" applyBorder="1" applyAlignment="1">
      <alignment horizontal="left" vertical="center"/>
    </xf>
    <xf numFmtId="164" fontId="2" fillId="0" borderId="69" xfId="0" applyNumberFormat="1" applyFont="1" applyFill="1" applyBorder="1" applyAlignment="1">
      <alignment horizontal="left" vertical="center"/>
    </xf>
    <xf numFmtId="167" fontId="2" fillId="0" borderId="70" xfId="0" applyNumberFormat="1" applyFont="1" applyFill="1" applyBorder="1" applyAlignment="1">
      <alignment horizontal="right" vertical="center"/>
    </xf>
    <xf numFmtId="167" fontId="2" fillId="0" borderId="35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>
      <alignment vertical="top"/>
    </xf>
    <xf numFmtId="164" fontId="6" fillId="12" borderId="62" xfId="0" applyNumberFormat="1" applyFont="1" applyFill="1" applyBorder="1" applyAlignment="1">
      <alignment horizontal="left" vertical="center"/>
    </xf>
    <xf numFmtId="164" fontId="2" fillId="12" borderId="63" xfId="0" applyNumberFormat="1" applyFont="1" applyFill="1" applyBorder="1" applyAlignment="1">
      <alignment horizontal="center" vertical="center"/>
    </xf>
    <xf numFmtId="164" fontId="2" fillId="12" borderId="63" xfId="0" applyNumberFormat="1" applyFont="1" applyFill="1" applyBorder="1" applyAlignment="1">
      <alignment horizontal="left" vertical="center"/>
    </xf>
    <xf numFmtId="165" fontId="2" fillId="12" borderId="63" xfId="0" applyNumberFormat="1" applyFont="1" applyFill="1" applyBorder="1" applyAlignment="1">
      <alignment horizontal="right" vertical="center"/>
    </xf>
    <xf numFmtId="164" fontId="2" fillId="12" borderId="64" xfId="0" applyNumberFormat="1" applyFont="1" applyFill="1" applyBorder="1" applyAlignment="1">
      <alignment horizontal="center" vertical="center"/>
    </xf>
    <xf numFmtId="164" fontId="4" fillId="2" borderId="71" xfId="0" applyNumberFormat="1" applyFont="1" applyFill="1" applyBorder="1" applyAlignment="1">
      <alignment horizontal="left" vertical="center"/>
    </xf>
    <xf numFmtId="164" fontId="2" fillId="2" borderId="57" xfId="0" applyNumberFormat="1" applyFont="1" applyFill="1" applyBorder="1" applyAlignment="1">
      <alignment horizontal="center" vertical="center"/>
    </xf>
    <xf numFmtId="164" fontId="2" fillId="0" borderId="71" xfId="0" applyNumberFormat="1" applyFont="1" applyFill="1" applyBorder="1" applyAlignment="1">
      <alignment horizontal="left" vertical="center"/>
    </xf>
    <xf numFmtId="164" fontId="2" fillId="2" borderId="35" xfId="0" applyNumberFormat="1" applyFont="1" applyFill="1" applyBorder="1" applyAlignment="1">
      <alignment horizontal="center" vertical="center"/>
    </xf>
    <xf numFmtId="164" fontId="2" fillId="2" borderId="73" xfId="0" applyNumberFormat="1" applyFont="1" applyFill="1" applyBorder="1" applyAlignment="1">
      <alignment horizontal="center" vertical="center"/>
    </xf>
    <xf numFmtId="164" fontId="2" fillId="2" borderId="61" xfId="0" applyNumberFormat="1" applyFont="1" applyFill="1" applyBorder="1" applyAlignment="1">
      <alignment horizontal="center" vertical="center"/>
    </xf>
    <xf numFmtId="164" fontId="2" fillId="2" borderId="68" xfId="0" applyNumberFormat="1" applyFont="1" applyFill="1" applyBorder="1" applyAlignment="1">
      <alignment horizontal="left" vertical="center"/>
    </xf>
    <xf numFmtId="0" fontId="1" fillId="0" borderId="74" xfId="0" applyNumberFormat="1" applyFont="1" applyBorder="1" applyAlignment="1">
      <alignment vertical="top"/>
    </xf>
    <xf numFmtId="167" fontId="2" fillId="0" borderId="76" xfId="0" applyNumberFormat="1" applyFont="1" applyFill="1" applyBorder="1" applyAlignment="1">
      <alignment horizontal="right" vertical="center"/>
    </xf>
    <xf numFmtId="0" fontId="1" fillId="0" borderId="77" xfId="0" applyNumberFormat="1" applyFont="1" applyBorder="1" applyAlignment="1">
      <alignment vertical="top"/>
    </xf>
    <xf numFmtId="166" fontId="1" fillId="0" borderId="78" xfId="0" applyNumberFormat="1" applyFont="1" applyBorder="1" applyAlignment="1">
      <alignment horizontal="left" vertical="top"/>
    </xf>
    <xf numFmtId="167" fontId="1" fillId="0" borderId="79" xfId="0" applyNumberFormat="1" applyFont="1" applyBorder="1" applyAlignment="1">
      <alignment vertical="top"/>
    </xf>
    <xf numFmtId="0" fontId="1" fillId="0" borderId="71" xfId="0" applyNumberFormat="1" applyFont="1" applyBorder="1" applyAlignment="1">
      <alignment vertical="top"/>
    </xf>
    <xf numFmtId="167" fontId="1" fillId="0" borderId="35" xfId="0" applyNumberFormat="1" applyFont="1" applyBorder="1" applyAlignment="1">
      <alignment vertical="top"/>
    </xf>
    <xf numFmtId="0" fontId="1" fillId="0" borderId="68" xfId="0" applyNumberFormat="1" applyFont="1" applyBorder="1" applyAlignment="1">
      <alignment vertical="top"/>
    </xf>
    <xf numFmtId="0" fontId="1" fillId="0" borderId="69" xfId="0" applyNumberFormat="1" applyFont="1" applyBorder="1" applyAlignment="1">
      <alignment vertical="top"/>
    </xf>
    <xf numFmtId="167" fontId="1" fillId="0" borderId="70" xfId="0" applyNumberFormat="1" applyFont="1" applyBorder="1" applyAlignment="1">
      <alignment vertical="top"/>
    </xf>
    <xf numFmtId="0" fontId="11" fillId="13" borderId="62" xfId="0" applyNumberFormat="1" applyFont="1" applyFill="1" applyBorder="1" applyAlignment="1">
      <alignment horizontal="right" vertical="top"/>
    </xf>
    <xf numFmtId="167" fontId="11" fillId="13" borderId="64" xfId="0" applyNumberFormat="1" applyFont="1" applyFill="1" applyBorder="1" applyAlignment="1">
      <alignment vertical="top"/>
    </xf>
    <xf numFmtId="10" fontId="11" fillId="13" borderId="64" xfId="0" applyNumberFormat="1" applyFont="1" applyFill="1" applyBorder="1" applyAlignment="1">
      <alignment vertical="top"/>
    </xf>
    <xf numFmtId="164" fontId="4" fillId="0" borderId="71" xfId="0" applyNumberFormat="1" applyFont="1" applyFill="1" applyBorder="1" applyAlignment="1">
      <alignment horizontal="left" vertical="center"/>
    </xf>
    <xf numFmtId="164" fontId="19" fillId="2" borderId="1" xfId="0" applyNumberFormat="1" applyFont="1" applyFill="1" applyBorder="1" applyAlignment="1">
      <alignment horizontal="left" vertical="center"/>
    </xf>
    <xf numFmtId="164" fontId="4" fillId="0" borderId="31" xfId="0" applyNumberFormat="1" applyFont="1" applyFill="1" applyBorder="1" applyAlignment="1">
      <alignment horizontal="left" vertical="center"/>
    </xf>
    <xf numFmtId="164" fontId="2" fillId="2" borderId="32" xfId="0" applyNumberFormat="1" applyFont="1" applyFill="1" applyBorder="1" applyAlignment="1">
      <alignment horizontal="center" vertical="center"/>
    </xf>
    <xf numFmtId="164" fontId="2" fillId="2" borderId="81" xfId="0" applyNumberFormat="1" applyFont="1" applyFill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left" vertical="center"/>
    </xf>
    <xf numFmtId="164" fontId="2" fillId="2" borderId="80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2" borderId="82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left" vertical="center"/>
    </xf>
    <xf numFmtId="164" fontId="2" fillId="0" borderId="18" xfId="0" applyNumberFormat="1" applyFont="1" applyFill="1" applyBorder="1" applyAlignment="1">
      <alignment horizontal="right" vertical="center"/>
    </xf>
    <xf numFmtId="164" fontId="2" fillId="11" borderId="84" xfId="0" applyNumberFormat="1" applyFont="1" applyFill="1" applyBorder="1" applyAlignment="1">
      <alignment horizontal="left" vertical="center"/>
    </xf>
    <xf numFmtId="164" fontId="2" fillId="11" borderId="29" xfId="0" applyNumberFormat="1" applyFont="1" applyFill="1" applyBorder="1" applyAlignment="1">
      <alignment horizontal="center" vertical="center"/>
    </xf>
    <xf numFmtId="164" fontId="4" fillId="11" borderId="29" xfId="0" applyNumberFormat="1" applyFont="1" applyFill="1" applyBorder="1" applyAlignment="1">
      <alignment horizontal="left" vertical="center"/>
    </xf>
    <xf numFmtId="164" fontId="2" fillId="11" borderId="80" xfId="0" applyNumberFormat="1" applyFont="1" applyFill="1" applyBorder="1" applyAlignment="1">
      <alignment horizontal="center" vertical="center"/>
    </xf>
    <xf numFmtId="164" fontId="2" fillId="11" borderId="32" xfId="0" applyNumberFormat="1" applyFont="1" applyFill="1" applyBorder="1" applyAlignment="1">
      <alignment horizontal="center" vertical="center"/>
    </xf>
    <xf numFmtId="164" fontId="2" fillId="11" borderId="81" xfId="0" applyNumberFormat="1" applyFont="1" applyFill="1" applyBorder="1" applyAlignment="1">
      <alignment horizontal="center" vertical="center"/>
    </xf>
    <xf numFmtId="164" fontId="2" fillId="11" borderId="31" xfId="0" applyNumberFormat="1" applyFont="1" applyFill="1" applyBorder="1" applyAlignment="1">
      <alignment horizontal="left" vertical="center"/>
    </xf>
    <xf numFmtId="165" fontId="2" fillId="11" borderId="0" xfId="0" applyNumberFormat="1" applyFont="1" applyFill="1" applyBorder="1" applyAlignment="1">
      <alignment vertical="center"/>
    </xf>
    <xf numFmtId="164" fontId="2" fillId="11" borderId="0" xfId="0" applyNumberFormat="1" applyFont="1" applyFill="1" applyBorder="1" applyAlignment="1">
      <alignment vertical="center"/>
    </xf>
    <xf numFmtId="164" fontId="21" fillId="8" borderId="86" xfId="0" applyNumberFormat="1" applyFont="1" applyFill="1" applyBorder="1" applyAlignment="1">
      <alignment horizontal="right" vertical="center"/>
    </xf>
    <xf numFmtId="164" fontId="21" fillId="15" borderId="86" xfId="0" applyNumberFormat="1" applyFont="1" applyFill="1" applyBorder="1" applyAlignment="1">
      <alignment horizontal="right" vertical="center"/>
    </xf>
    <xf numFmtId="164" fontId="2" fillId="11" borderId="0" xfId="0" applyNumberFormat="1" applyFont="1" applyFill="1" applyBorder="1" applyAlignment="1">
      <alignment horizontal="left" vertical="center"/>
    </xf>
    <xf numFmtId="164" fontId="2" fillId="11" borderId="12" xfId="0" applyNumberFormat="1" applyFont="1" applyFill="1" applyBorder="1" applyAlignment="1">
      <alignment horizontal="left" vertical="center"/>
    </xf>
    <xf numFmtId="164" fontId="2" fillId="11" borderId="1" xfId="0" applyNumberFormat="1" applyFont="1" applyFill="1" applyBorder="1" applyAlignment="1">
      <alignment horizontal="center" vertical="center"/>
    </xf>
    <xf numFmtId="165" fontId="2" fillId="11" borderId="1" xfId="0" applyNumberFormat="1" applyFont="1" applyFill="1" applyBorder="1" applyAlignment="1">
      <alignment horizontal="center" vertical="center"/>
    </xf>
    <xf numFmtId="0" fontId="1" fillId="11" borderId="0" xfId="0" applyNumberFormat="1" applyFont="1" applyFill="1" applyBorder="1" applyAlignment="1">
      <alignment vertical="top"/>
    </xf>
    <xf numFmtId="164" fontId="2" fillId="11" borderId="31" xfId="0" applyNumberFormat="1" applyFont="1" applyFill="1" applyBorder="1" applyAlignment="1">
      <alignment vertical="center"/>
    </xf>
    <xf numFmtId="167" fontId="2" fillId="11" borderId="32" xfId="0" applyNumberFormat="1" applyFont="1" applyFill="1" applyBorder="1" applyAlignment="1">
      <alignment horizontal="right" vertical="center"/>
    </xf>
    <xf numFmtId="167" fontId="2" fillId="11" borderId="1" xfId="0" applyNumberFormat="1" applyFont="1" applyFill="1" applyBorder="1" applyAlignment="1">
      <alignment horizontal="left" vertical="center"/>
    </xf>
    <xf numFmtId="9" fontId="2" fillId="11" borderId="1" xfId="0" applyNumberFormat="1" applyFont="1" applyFill="1" applyBorder="1" applyAlignment="1">
      <alignment horizontal="left" vertical="center"/>
    </xf>
    <xf numFmtId="164" fontId="2" fillId="11" borderId="43" xfId="0" applyNumberFormat="1" applyFont="1" applyFill="1" applyBorder="1" applyAlignment="1">
      <alignment horizontal="left" vertical="center"/>
    </xf>
    <xf numFmtId="164" fontId="2" fillId="11" borderId="44" xfId="0" applyNumberFormat="1" applyFont="1" applyFill="1" applyBorder="1" applyAlignment="1">
      <alignment horizontal="center" vertical="center"/>
    </xf>
    <xf numFmtId="167" fontId="2" fillId="11" borderId="55" xfId="0" applyNumberFormat="1" applyFont="1" applyFill="1" applyBorder="1" applyAlignment="1">
      <alignment horizontal="right" vertical="center"/>
    </xf>
    <xf numFmtId="164" fontId="2" fillId="11" borderId="45" xfId="0" applyNumberFormat="1" applyFont="1" applyFill="1" applyBorder="1" applyAlignment="1">
      <alignment horizontal="left" vertical="center"/>
    </xf>
    <xf numFmtId="164" fontId="2" fillId="11" borderId="0" xfId="0" applyNumberFormat="1" applyFont="1" applyFill="1" applyBorder="1" applyAlignment="1">
      <alignment horizontal="center" vertical="center"/>
    </xf>
    <xf numFmtId="167" fontId="2" fillId="11" borderId="57" xfId="0" applyNumberFormat="1" applyFont="1" applyFill="1" applyBorder="1" applyAlignment="1">
      <alignment horizontal="right" vertical="center"/>
    </xf>
    <xf numFmtId="164" fontId="2" fillId="11" borderId="46" xfId="0" applyNumberFormat="1" applyFont="1" applyFill="1" applyBorder="1" applyAlignment="1">
      <alignment horizontal="left" vertical="center"/>
    </xf>
    <xf numFmtId="164" fontId="2" fillId="11" borderId="47" xfId="0" applyNumberFormat="1" applyFont="1" applyFill="1" applyBorder="1" applyAlignment="1">
      <alignment horizontal="center" vertical="center"/>
    </xf>
    <xf numFmtId="167" fontId="2" fillId="11" borderId="56" xfId="0" applyNumberFormat="1" applyFont="1" applyFill="1" applyBorder="1" applyAlignment="1">
      <alignment horizontal="right" vertical="center"/>
    </xf>
    <xf numFmtId="164" fontId="2" fillId="11" borderId="32" xfId="0" applyNumberFormat="1" applyFont="1" applyFill="1" applyBorder="1" applyAlignment="1">
      <alignment horizontal="left" vertical="center"/>
    </xf>
    <xf numFmtId="164" fontId="2" fillId="11" borderId="83" xfId="0" applyNumberFormat="1" applyFont="1" applyFill="1" applyBorder="1" applyAlignment="1">
      <alignment horizontal="left" vertical="center"/>
    </xf>
    <xf numFmtId="164" fontId="2" fillId="11" borderId="41" xfId="0" applyNumberFormat="1" applyFont="1" applyFill="1" applyBorder="1" applyAlignment="1">
      <alignment horizontal="left" vertical="center"/>
    </xf>
    <xf numFmtId="164" fontId="2" fillId="11" borderId="41" xfId="0" applyNumberFormat="1" applyFont="1" applyFill="1" applyBorder="1" applyAlignment="1">
      <alignment horizontal="center" vertical="center"/>
    </xf>
    <xf numFmtId="0" fontId="12" fillId="11" borderId="59" xfId="0" applyFont="1" applyFill="1" applyBorder="1" applyAlignment="1"/>
    <xf numFmtId="0" fontId="1" fillId="11" borderId="59" xfId="0" applyNumberFormat="1" applyFont="1" applyFill="1" applyBorder="1" applyAlignment="1">
      <alignment vertical="top"/>
    </xf>
    <xf numFmtId="164" fontId="2" fillId="11" borderId="82" xfId="0" applyNumberFormat="1" applyFont="1" applyFill="1" applyBorder="1" applyAlignment="1">
      <alignment horizontal="center" vertical="center"/>
    </xf>
    <xf numFmtId="164" fontId="2" fillId="2" borderId="87" xfId="0" applyNumberFormat="1" applyFont="1" applyFill="1" applyBorder="1" applyAlignment="1">
      <alignment horizontal="center" vertical="center"/>
    </xf>
    <xf numFmtId="164" fontId="2" fillId="2" borderId="88" xfId="0" applyNumberFormat="1" applyFont="1" applyFill="1" applyBorder="1" applyAlignment="1">
      <alignment horizontal="center" vertical="center"/>
    </xf>
    <xf numFmtId="164" fontId="2" fillId="0" borderId="87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left" vertical="center"/>
    </xf>
    <xf numFmtId="164" fontId="2" fillId="0" borderId="47" xfId="0" applyNumberFormat="1" applyFont="1" applyFill="1" applyBorder="1" applyAlignment="1">
      <alignment horizontal="center" vertical="center"/>
    </xf>
    <xf numFmtId="164" fontId="2" fillId="2" borderId="47" xfId="0" applyNumberFormat="1" applyFont="1" applyFill="1" applyBorder="1" applyAlignment="1">
      <alignment horizontal="center" vertical="center"/>
    </xf>
    <xf numFmtId="164" fontId="2" fillId="0" borderId="58" xfId="0" applyNumberFormat="1" applyFont="1" applyFill="1" applyBorder="1" applyAlignment="1">
      <alignment horizontal="left" vertical="center"/>
    </xf>
    <xf numFmtId="167" fontId="2" fillId="0" borderId="60" xfId="0" applyNumberFormat="1" applyFont="1" applyFill="1" applyBorder="1" applyAlignment="1">
      <alignment horizontal="right" vertical="center"/>
    </xf>
    <xf numFmtId="9" fontId="2" fillId="11" borderId="18" xfId="0" applyNumberFormat="1" applyFont="1" applyFill="1" applyBorder="1" applyAlignment="1">
      <alignment horizontal="left" vertical="center"/>
    </xf>
    <xf numFmtId="165" fontId="2" fillId="2" borderId="87" xfId="0" applyNumberFormat="1" applyFont="1" applyFill="1" applyBorder="1" applyAlignment="1">
      <alignment horizontal="center" vertical="center"/>
    </xf>
    <xf numFmtId="165" fontId="2" fillId="2" borderId="41" xfId="0" applyNumberFormat="1" applyFont="1" applyFill="1" applyBorder="1" applyAlignment="1">
      <alignment horizontal="center" vertical="center"/>
    </xf>
    <xf numFmtId="0" fontId="1" fillId="0" borderId="90" xfId="0" applyNumberFormat="1" applyFont="1" applyBorder="1" applyAlignment="1">
      <alignment vertical="top"/>
    </xf>
    <xf numFmtId="0" fontId="1" fillId="0" borderId="84" xfId="0" applyNumberFormat="1" applyFont="1" applyBorder="1" applyAlignment="1">
      <alignment vertical="top"/>
    </xf>
    <xf numFmtId="0" fontId="1" fillId="11" borderId="91" xfId="0" applyNumberFormat="1" applyFont="1" applyFill="1" applyBorder="1" applyAlignment="1">
      <alignment vertical="top"/>
    </xf>
    <xf numFmtId="167" fontId="2" fillId="11" borderId="1" xfId="0" applyNumberFormat="1" applyFont="1" applyFill="1" applyBorder="1" applyAlignment="1">
      <alignment horizontal="right" vertical="center"/>
    </xf>
    <xf numFmtId="15" fontId="20" fillId="11" borderId="0" xfId="0" applyNumberFormat="1" applyFont="1" applyFill="1" applyBorder="1" applyAlignment="1">
      <alignment horizontal="center" vertical="center"/>
    </xf>
    <xf numFmtId="164" fontId="18" fillId="11" borderId="0" xfId="0" applyNumberFormat="1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left" vertical="center"/>
    </xf>
    <xf numFmtId="166" fontId="2" fillId="11" borderId="1" xfId="0" applyNumberFormat="1" applyFont="1" applyFill="1" applyBorder="1" applyAlignment="1">
      <alignment horizontal="left" vertical="center"/>
    </xf>
    <xf numFmtId="164" fontId="4" fillId="11" borderId="5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top"/>
    </xf>
    <xf numFmtId="0" fontId="2" fillId="2" borderId="41" xfId="0" applyNumberFormat="1" applyFont="1" applyFill="1" applyBorder="1" applyAlignment="1">
      <alignment horizontal="center" vertical="center"/>
    </xf>
    <xf numFmtId="164" fontId="15" fillId="0" borderId="61" xfId="0" applyNumberFormat="1" applyFont="1" applyFill="1" applyBorder="1" applyAlignment="1">
      <alignment horizontal="left" vertical="center"/>
    </xf>
    <xf numFmtId="164" fontId="16" fillId="0" borderId="4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top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85" xfId="0" applyNumberFormat="1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top"/>
    </xf>
    <xf numFmtId="164" fontId="2" fillId="2" borderId="85" xfId="0" applyNumberFormat="1" applyFont="1" applyFill="1" applyBorder="1" applyAlignment="1">
      <alignment horizontal="center" vertical="center"/>
    </xf>
    <xf numFmtId="164" fontId="13" fillId="8" borderId="35" xfId="0" applyNumberFormat="1" applyFont="1" applyFill="1" applyBorder="1" applyAlignment="1">
      <alignment horizontal="center" vertical="center"/>
    </xf>
    <xf numFmtId="164" fontId="2" fillId="0" borderId="69" xfId="0" applyNumberFormat="1" applyFont="1" applyFill="1" applyBorder="1" applyAlignment="1">
      <alignment horizontal="center" vertical="center"/>
    </xf>
    <xf numFmtId="164" fontId="13" fillId="0" borderId="69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94" xfId="0" applyNumberFormat="1" applyFont="1" applyFill="1" applyBorder="1" applyAlignment="1">
      <alignment horizontal="left" vertical="center"/>
    </xf>
    <xf numFmtId="164" fontId="2" fillId="0" borderId="59" xfId="0" applyNumberFormat="1" applyFont="1" applyFill="1" applyBorder="1" applyAlignment="1">
      <alignment horizontal="left" vertical="center"/>
    </xf>
    <xf numFmtId="165" fontId="2" fillId="2" borderId="35" xfId="0" applyNumberFormat="1" applyFont="1" applyFill="1" applyBorder="1" applyAlignment="1">
      <alignment horizontal="right" vertical="center"/>
    </xf>
    <xf numFmtId="164" fontId="2" fillId="0" borderId="72" xfId="0" applyNumberFormat="1" applyFont="1" applyFill="1" applyBorder="1" applyAlignment="1">
      <alignment horizontal="right" vertical="center"/>
    </xf>
    <xf numFmtId="0" fontId="2" fillId="0" borderId="60" xfId="0" applyNumberFormat="1" applyFont="1" applyFill="1" applyBorder="1" applyAlignment="1">
      <alignment horizontal="right" vertical="center"/>
    </xf>
    <xf numFmtId="167" fontId="2" fillId="2" borderId="75" xfId="0" applyNumberFormat="1" applyFont="1" applyFill="1" applyBorder="1" applyAlignment="1">
      <alignment horizontal="center" vertical="center"/>
    </xf>
    <xf numFmtId="167" fontId="2" fillId="2" borderId="75" xfId="0" applyNumberFormat="1" applyFont="1" applyFill="1" applyBorder="1" applyAlignment="1">
      <alignment horizontal="right" vertical="center"/>
    </xf>
    <xf numFmtId="167" fontId="2" fillId="2" borderId="89" xfId="0" applyNumberFormat="1" applyFont="1" applyFill="1" applyBorder="1" applyAlignment="1">
      <alignment horizontal="right" vertical="center"/>
    </xf>
    <xf numFmtId="167" fontId="2" fillId="0" borderId="59" xfId="0" applyNumberFormat="1" applyFont="1" applyFill="1" applyBorder="1" applyAlignment="1">
      <alignment horizontal="right" vertical="center"/>
    </xf>
    <xf numFmtId="167" fontId="2" fillId="0" borderId="58" xfId="0" applyNumberFormat="1" applyFont="1" applyFill="1" applyBorder="1" applyAlignment="1">
      <alignment horizontal="right" vertical="center"/>
    </xf>
    <xf numFmtId="167" fontId="2" fillId="11" borderId="60" xfId="0" applyNumberFormat="1" applyFont="1" applyFill="1" applyBorder="1" applyAlignment="1">
      <alignment horizontal="right" vertical="center"/>
    </xf>
    <xf numFmtId="167" fontId="1" fillId="13" borderId="70" xfId="0" applyNumberFormat="1" applyFont="1" applyFill="1" applyBorder="1" applyAlignment="1">
      <alignment vertical="top"/>
    </xf>
    <xf numFmtId="0" fontId="11" fillId="11" borderId="62" xfId="0" applyNumberFormat="1" applyFont="1" applyFill="1" applyBorder="1" applyAlignment="1">
      <alignment horizontal="right" vertical="top"/>
    </xf>
    <xf numFmtId="167" fontId="11" fillId="11" borderId="64" xfId="0" applyNumberFormat="1" applyFont="1" applyFill="1" applyBorder="1" applyAlignment="1">
      <alignment vertical="top"/>
    </xf>
    <xf numFmtId="0" fontId="17" fillId="0" borderId="0" xfId="0" applyNumberFormat="1" applyFont="1" applyAlignment="1">
      <alignment vertical="top"/>
    </xf>
    <xf numFmtId="168" fontId="2" fillId="11" borderId="35" xfId="0" applyNumberFormat="1" applyFont="1" applyFill="1" applyBorder="1" applyAlignment="1">
      <alignment horizontal="right" vertical="center"/>
    </xf>
    <xf numFmtId="164" fontId="2" fillId="0" borderId="73" xfId="0" applyNumberFormat="1" applyFont="1" applyFill="1" applyBorder="1" applyAlignment="1">
      <alignment horizontal="center" vertical="center"/>
    </xf>
    <xf numFmtId="164" fontId="2" fillId="0" borderId="95" xfId="0" applyNumberFormat="1" applyFont="1" applyFill="1" applyBorder="1" applyAlignment="1">
      <alignment horizontal="center" vertical="center"/>
    </xf>
    <xf numFmtId="164" fontId="2" fillId="0" borderId="72" xfId="0" applyNumberFormat="1" applyFont="1" applyFill="1" applyBorder="1" applyAlignment="1">
      <alignment horizontal="center" vertical="center"/>
    </xf>
    <xf numFmtId="164" fontId="2" fillId="0" borderId="74" xfId="0" applyNumberFormat="1" applyFont="1" applyFill="1" applyBorder="1" applyAlignment="1">
      <alignment horizontal="center" vertical="center"/>
    </xf>
    <xf numFmtId="164" fontId="10" fillId="2" borderId="30" xfId="0" applyNumberFormat="1" applyFont="1" applyFill="1" applyBorder="1" applyAlignment="1">
      <alignment horizontal="left" vertical="center"/>
    </xf>
    <xf numFmtId="164" fontId="2" fillId="2" borderId="34" xfId="0" applyNumberFormat="1" applyFont="1" applyFill="1" applyBorder="1" applyAlignment="1">
      <alignment horizontal="left" vertical="center"/>
    </xf>
    <xf numFmtId="164" fontId="4" fillId="10" borderId="12" xfId="0" applyNumberFormat="1" applyFont="1" applyFill="1" applyBorder="1" applyAlignment="1">
      <alignment horizontal="left" vertical="center"/>
    </xf>
    <xf numFmtId="164" fontId="13" fillId="8" borderId="12" xfId="0" applyNumberFormat="1" applyFont="1" applyFill="1" applyBorder="1" applyAlignment="1">
      <alignment horizontal="left" vertical="center"/>
    </xf>
    <xf numFmtId="165" fontId="4" fillId="11" borderId="35" xfId="0" applyNumberFormat="1" applyFont="1" applyFill="1" applyBorder="1" applyAlignment="1">
      <alignment horizontal="center" vertical="center"/>
    </xf>
    <xf numFmtId="165" fontId="22" fillId="11" borderId="35" xfId="0" applyNumberFormat="1" applyFont="1" applyFill="1" applyBorder="1" applyAlignment="1">
      <alignment horizontal="center" vertical="center"/>
    </xf>
    <xf numFmtId="49" fontId="14" fillId="14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11" borderId="43" xfId="0" applyNumberFormat="1" applyFont="1" applyFill="1" applyBorder="1" applyAlignment="1">
      <alignment horizontal="left" vertical="top" wrapText="1"/>
    </xf>
    <xf numFmtId="0" fontId="1" fillId="11" borderId="44" xfId="0" applyNumberFormat="1" applyFont="1" applyFill="1" applyBorder="1" applyAlignment="1">
      <alignment horizontal="left" vertical="top" wrapText="1"/>
    </xf>
    <xf numFmtId="0" fontId="1" fillId="11" borderId="92" xfId="0" applyNumberFormat="1" applyFont="1" applyFill="1" applyBorder="1" applyAlignment="1">
      <alignment horizontal="left" vertical="top" wrapText="1"/>
    </xf>
    <xf numFmtId="0" fontId="1" fillId="11" borderId="46" xfId="0" applyNumberFormat="1" applyFont="1" applyFill="1" applyBorder="1" applyAlignment="1">
      <alignment horizontal="left" vertical="top" wrapText="1"/>
    </xf>
    <xf numFmtId="0" fontId="1" fillId="11" borderId="47" xfId="0" applyNumberFormat="1" applyFont="1" applyFill="1" applyBorder="1" applyAlignment="1">
      <alignment horizontal="left" vertical="top" wrapText="1"/>
    </xf>
    <xf numFmtId="0" fontId="1" fillId="11" borderId="93" xfId="0" applyNumberFormat="1" applyFont="1" applyFill="1" applyBorder="1" applyAlignment="1">
      <alignment horizontal="left" vertical="top" wrapText="1"/>
    </xf>
    <xf numFmtId="164" fontId="14" fillId="12" borderId="85" xfId="0" applyNumberFormat="1" applyFont="1" applyFill="1" applyBorder="1" applyAlignment="1">
      <alignment horizontal="center" vertical="center" wrapText="1"/>
    </xf>
    <xf numFmtId="164" fontId="14" fillId="12" borderId="0" xfId="0" applyNumberFormat="1" applyFont="1" applyFill="1" applyBorder="1" applyAlignment="1">
      <alignment horizontal="center" vertical="center" wrapText="1"/>
    </xf>
    <xf numFmtId="164" fontId="14" fillId="12" borderId="61" xfId="0" applyNumberFormat="1" applyFont="1" applyFill="1" applyBorder="1" applyAlignment="1">
      <alignment horizontal="center" vertical="center" wrapText="1"/>
    </xf>
    <xf numFmtId="164" fontId="13" fillId="16" borderId="58" xfId="0" applyNumberFormat="1" applyFont="1" applyFill="1" applyBorder="1" applyAlignment="1">
      <alignment horizontal="center" vertical="center" wrapText="1"/>
    </xf>
    <xf numFmtId="164" fontId="13" fillId="16" borderId="59" xfId="0" applyNumberFormat="1" applyFont="1" applyFill="1" applyBorder="1" applyAlignment="1">
      <alignment horizontal="center" vertical="center" wrapText="1"/>
    </xf>
    <xf numFmtId="164" fontId="13" fillId="16" borderId="60" xfId="0" applyNumberFormat="1" applyFont="1" applyFill="1" applyBorder="1" applyAlignment="1">
      <alignment horizontal="center" vertical="center" wrapText="1"/>
    </xf>
    <xf numFmtId="164" fontId="13" fillId="17" borderId="58" xfId="0" applyNumberFormat="1" applyFont="1" applyFill="1" applyBorder="1" applyAlignment="1">
      <alignment horizontal="center" vertical="center" wrapText="1"/>
    </xf>
    <xf numFmtId="164" fontId="13" fillId="17" borderId="59" xfId="0" applyNumberFormat="1" applyFont="1" applyFill="1" applyBorder="1" applyAlignment="1">
      <alignment horizontal="center" vertical="center" wrapText="1"/>
    </xf>
    <xf numFmtId="164" fontId="13" fillId="17" borderId="6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D2DAE4"/>
      <rgbColor rgb="00FFFF00"/>
      <rgbColor rgb="00FF0000"/>
      <rgbColor rgb="00DBE5F1"/>
      <rgbColor rgb="00FFFFCC"/>
      <rgbColor rgb="00BFBFBF"/>
      <rgbColor rgb="00339966"/>
      <rgbColor rgb="00C2D69B"/>
      <rgbColor rgb="00E5B8B7"/>
      <rgbColor rgb="00FBD4B4"/>
      <rgbColor rgb="00FFC000"/>
      <rgbColor rgb="0092D050"/>
      <rgbColor rgb="0099CC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7B94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showGridLines="0" tabSelected="1" view="pageBreakPreview" zoomScale="83" zoomScaleNormal="77" zoomScaleSheetLayoutView="83" workbookViewId="0">
      <selection activeCell="G108" sqref="G108"/>
    </sheetView>
  </sheetViews>
  <sheetFormatPr defaultColWidth="10.25" defaultRowHeight="20.100000000000001" customHeight="1"/>
  <cols>
    <col min="1" max="1" width="3" style="1" customWidth="1"/>
    <col min="2" max="2" width="13.5" style="1" customWidth="1"/>
    <col min="3" max="3" width="6.875" style="1" customWidth="1"/>
    <col min="4" max="4" width="14.125" style="1" customWidth="1"/>
    <col min="5" max="5" width="7.625" style="1" customWidth="1"/>
    <col min="6" max="6" width="16.125" style="1" customWidth="1"/>
    <col min="7" max="7" width="14.25" style="1" customWidth="1"/>
    <col min="8" max="8" width="15.625" style="1" customWidth="1"/>
    <col min="9" max="9" width="13" style="42" bestFit="1" customWidth="1"/>
    <col min="10" max="10" width="12.375" style="1" customWidth="1"/>
    <col min="11" max="11" width="13.5" style="1" customWidth="1"/>
    <col min="12" max="12" width="6.5" style="1" customWidth="1"/>
    <col min="13" max="13" width="13.5" style="1" customWidth="1"/>
    <col min="14" max="14" width="4.75" style="1" customWidth="1"/>
    <col min="15" max="15" width="13.5" style="1" customWidth="1"/>
    <col min="16" max="16" width="4.75" style="1" customWidth="1"/>
    <col min="17" max="17" width="7.25" style="1" customWidth="1"/>
    <col min="18" max="18" width="9.375" style="1" customWidth="1"/>
    <col min="19" max="19" width="10.125" style="1" customWidth="1"/>
    <col min="20" max="20" width="5.75" style="1" customWidth="1"/>
    <col min="21" max="21" width="11.625" style="1" customWidth="1"/>
    <col min="22" max="22" width="1.875" style="1" customWidth="1"/>
    <col min="23" max="16384" width="10.25" style="1"/>
  </cols>
  <sheetData>
    <row r="1" spans="1:22" ht="32.25" customHeight="1">
      <c r="A1" s="2"/>
      <c r="B1" s="3" t="s">
        <v>0</v>
      </c>
      <c r="C1" s="4"/>
      <c r="D1" s="5"/>
      <c r="E1" s="5"/>
      <c r="F1" s="5"/>
      <c r="G1" s="5"/>
      <c r="H1" s="333" t="s">
        <v>70</v>
      </c>
      <c r="I1" s="334"/>
      <c r="J1" s="334"/>
      <c r="K1" s="335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9" customHeight="1" thickBot="1">
      <c r="A2" s="2"/>
      <c r="B2" s="6"/>
      <c r="C2" s="7"/>
      <c r="D2" s="7"/>
      <c r="E2" s="7"/>
      <c r="F2" s="7"/>
      <c r="G2" s="7"/>
      <c r="H2" s="7"/>
      <c r="I2" s="30"/>
      <c r="J2" s="7"/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</row>
    <row r="3" spans="1:22" ht="14.25" customHeight="1">
      <c r="A3" s="8"/>
      <c r="B3" s="9" t="s">
        <v>1</v>
      </c>
      <c r="C3" s="11"/>
      <c r="D3" s="10"/>
      <c r="E3" s="10"/>
      <c r="F3" s="10"/>
      <c r="G3" s="10"/>
      <c r="H3" s="10"/>
      <c r="I3" s="36"/>
      <c r="J3" s="2"/>
      <c r="K3" s="23"/>
      <c r="L3" s="23"/>
      <c r="M3" s="10"/>
      <c r="N3" s="10"/>
      <c r="O3" s="11"/>
      <c r="P3" s="10"/>
      <c r="Q3" s="12"/>
      <c r="R3" s="13"/>
      <c r="S3" s="14"/>
      <c r="T3" s="14"/>
      <c r="U3" s="14"/>
      <c r="V3" s="2"/>
    </row>
    <row r="4" spans="1:22" ht="15">
      <c r="A4" s="8"/>
      <c r="B4" s="114" t="s">
        <v>2</v>
      </c>
      <c r="C4" s="109"/>
      <c r="D4" s="289" t="s">
        <v>69</v>
      </c>
      <c r="E4" s="112"/>
      <c r="F4" s="113"/>
      <c r="G4" s="113"/>
      <c r="H4" s="113"/>
      <c r="I4" s="36"/>
      <c r="J4" s="2"/>
      <c r="K4" s="164"/>
      <c r="L4" s="23"/>
      <c r="M4" s="17"/>
      <c r="N4" s="16"/>
      <c r="O4" s="288" t="s">
        <v>86</v>
      </c>
      <c r="P4" s="17"/>
      <c r="Q4" s="8"/>
      <c r="R4" s="13"/>
      <c r="S4" s="19" t="s">
        <v>3</v>
      </c>
      <c r="T4" s="20"/>
      <c r="U4" s="21"/>
      <c r="V4" s="22"/>
    </row>
    <row r="5" spans="1:22" ht="15">
      <c r="A5" s="8"/>
      <c r="B5" s="15" t="s">
        <v>4</v>
      </c>
      <c r="C5" s="23"/>
      <c r="D5" s="327"/>
      <c r="E5" s="331">
        <v>40</v>
      </c>
      <c r="F5" s="328" t="s">
        <v>84</v>
      </c>
      <c r="G5" s="24"/>
      <c r="H5" s="2"/>
      <c r="I5" s="36"/>
      <c r="J5" s="109"/>
      <c r="K5" s="23"/>
      <c r="L5" s="23"/>
      <c r="M5" s="2"/>
      <c r="N5" s="2"/>
      <c r="O5" s="23"/>
      <c r="P5" s="2"/>
      <c r="Q5" s="8"/>
      <c r="R5" s="13"/>
      <c r="S5" s="25"/>
      <c r="T5" s="2"/>
      <c r="U5" s="18"/>
      <c r="V5" s="22"/>
    </row>
    <row r="6" spans="1:22" ht="15">
      <c r="A6" s="8"/>
      <c r="B6" s="115"/>
      <c r="C6" s="70"/>
      <c r="D6" s="155" t="s">
        <v>33</v>
      </c>
      <c r="E6" s="332">
        <f>E5*0.75</f>
        <v>30</v>
      </c>
      <c r="F6" s="329" t="s">
        <v>42</v>
      </c>
      <c r="G6" s="157"/>
      <c r="H6" s="109"/>
      <c r="I6" s="36"/>
      <c r="J6" s="109"/>
      <c r="K6" s="23"/>
      <c r="L6" s="23"/>
      <c r="M6" s="2"/>
      <c r="N6" s="2"/>
      <c r="O6" s="2"/>
      <c r="P6" s="2"/>
      <c r="Q6" s="8"/>
      <c r="R6" s="13"/>
      <c r="S6" s="25" t="s">
        <v>24</v>
      </c>
      <c r="T6" s="2"/>
      <c r="U6" s="18"/>
      <c r="V6" s="22"/>
    </row>
    <row r="7" spans="1:22" ht="15">
      <c r="A7" s="8"/>
      <c r="B7" s="115"/>
      <c r="C7" s="70"/>
      <c r="D7" s="155"/>
      <c r="E7" s="332">
        <f>E5*0.25</f>
        <v>10</v>
      </c>
      <c r="F7" s="330" t="s">
        <v>34</v>
      </c>
      <c r="G7" s="156"/>
      <c r="H7" s="226" t="s">
        <v>85</v>
      </c>
      <c r="I7" s="36"/>
      <c r="J7" s="109"/>
      <c r="K7" s="23"/>
      <c r="L7" s="2"/>
      <c r="M7" s="2"/>
      <c r="N7" s="2"/>
      <c r="O7" s="2"/>
      <c r="P7" s="2"/>
      <c r="Q7" s="8"/>
      <c r="R7" s="13"/>
      <c r="S7" s="25" t="s">
        <v>5</v>
      </c>
      <c r="T7" s="2"/>
      <c r="U7" s="18"/>
      <c r="V7" s="22"/>
    </row>
    <row r="8" spans="1:22" ht="14.25" customHeight="1" thickBot="1">
      <c r="A8" s="8"/>
      <c r="B8" s="15"/>
      <c r="C8" s="2"/>
      <c r="D8" s="2"/>
      <c r="E8" s="23"/>
      <c r="F8" s="26"/>
      <c r="G8" s="26"/>
      <c r="H8" s="2"/>
      <c r="I8" s="37"/>
      <c r="J8" s="2"/>
      <c r="K8" s="2"/>
      <c r="L8" s="2"/>
      <c r="M8" s="2"/>
      <c r="N8" s="2"/>
      <c r="O8" s="2"/>
      <c r="P8" s="2"/>
      <c r="Q8" s="8"/>
      <c r="R8" s="13"/>
      <c r="S8" s="28"/>
      <c r="T8" s="14"/>
      <c r="U8" s="29"/>
      <c r="V8" s="22"/>
    </row>
    <row r="9" spans="1:22" ht="10.5" customHeight="1" thickBot="1">
      <c r="A9" s="2"/>
      <c r="B9" s="86"/>
      <c r="C9" s="11"/>
      <c r="D9" s="11"/>
      <c r="E9" s="11"/>
      <c r="F9" s="11"/>
      <c r="G9" s="11"/>
      <c r="H9" s="11"/>
      <c r="I9" s="35"/>
      <c r="J9" s="11"/>
      <c r="K9" s="11"/>
      <c r="L9" s="11"/>
      <c r="M9" s="11"/>
      <c r="N9" s="11"/>
      <c r="O9" s="11"/>
      <c r="P9" s="11"/>
      <c r="Q9" s="11"/>
      <c r="R9" s="27"/>
      <c r="S9" s="27"/>
      <c r="T9" s="27"/>
      <c r="U9" s="27"/>
      <c r="V9" s="2"/>
    </row>
    <row r="10" spans="1:22" ht="21.75" customHeight="1" thickBot="1">
      <c r="A10" s="16"/>
      <c r="B10" s="87" t="s">
        <v>6</v>
      </c>
      <c r="C10" s="135"/>
      <c r="D10" s="135"/>
      <c r="E10" s="136"/>
      <c r="F10" s="137"/>
      <c r="G10" s="137"/>
      <c r="H10" s="137"/>
      <c r="I10" s="137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88"/>
      <c r="V10" s="17"/>
    </row>
    <row r="11" spans="1:22" ht="12.75" customHeight="1" thickBot="1">
      <c r="A11" s="16"/>
      <c r="B11" s="167" t="s">
        <v>46</v>
      </c>
      <c r="C11" s="168">
        <v>1</v>
      </c>
      <c r="D11" s="245" t="s">
        <v>73</v>
      </c>
      <c r="E11" s="139" t="s">
        <v>39</v>
      </c>
      <c r="F11" s="140"/>
      <c r="G11" s="244">
        <v>70</v>
      </c>
      <c r="H11" s="141" t="s">
        <v>25</v>
      </c>
      <c r="I11" s="244">
        <f t="shared" ref="I11" si="0">(G11*2000)*0.7</f>
        <v>98000</v>
      </c>
      <c r="J11" s="246" t="s">
        <v>71</v>
      </c>
      <c r="K11" s="248" t="s">
        <v>87</v>
      </c>
      <c r="L11" s="249"/>
      <c r="M11" s="249"/>
      <c r="N11" s="249"/>
      <c r="O11" s="249"/>
      <c r="P11" s="250"/>
      <c r="Q11" s="251"/>
      <c r="R11" s="252"/>
      <c r="S11" s="68">
        <f>I11/G11</f>
        <v>1400</v>
      </c>
      <c r="T11" s="26" t="s">
        <v>31</v>
      </c>
      <c r="U11" s="90"/>
      <c r="V11" s="17"/>
    </row>
    <row r="12" spans="1:22" ht="12.75" customHeight="1" thickBot="1">
      <c r="A12" s="16"/>
      <c r="B12" s="167" t="s">
        <v>46</v>
      </c>
      <c r="C12" s="168">
        <v>2</v>
      </c>
      <c r="D12" s="245" t="s">
        <v>73</v>
      </c>
      <c r="E12" s="245" t="s">
        <v>74</v>
      </c>
      <c r="F12" s="140"/>
      <c r="G12" s="244">
        <v>70</v>
      </c>
      <c r="H12" s="141" t="s">
        <v>25</v>
      </c>
      <c r="I12" s="244">
        <f>(G12*2000)*0.5</f>
        <v>70000</v>
      </c>
      <c r="J12" s="247" t="s">
        <v>71</v>
      </c>
      <c r="K12" s="249" t="s">
        <v>72</v>
      </c>
      <c r="L12" s="249"/>
      <c r="M12" s="249"/>
      <c r="N12" s="249"/>
      <c r="O12" s="249"/>
      <c r="P12" s="249"/>
      <c r="Q12" s="249"/>
      <c r="R12" s="250"/>
      <c r="S12" s="68">
        <f>I12/G12</f>
        <v>1000</v>
      </c>
      <c r="T12" s="26" t="s">
        <v>31</v>
      </c>
      <c r="U12" s="90"/>
      <c r="V12" s="17"/>
    </row>
    <row r="13" spans="1:22" ht="12.75" customHeight="1" thickBot="1">
      <c r="A13" s="16"/>
      <c r="B13" s="167" t="s">
        <v>46</v>
      </c>
      <c r="C13" s="168">
        <v>1</v>
      </c>
      <c r="D13" s="245" t="s">
        <v>73</v>
      </c>
      <c r="E13" s="139" t="s">
        <v>39</v>
      </c>
      <c r="F13" s="140"/>
      <c r="G13" s="244">
        <v>70</v>
      </c>
      <c r="H13" s="141" t="s">
        <v>25</v>
      </c>
      <c r="I13" s="244">
        <f t="shared" ref="I13" si="1">(G13*2000)*0.7</f>
        <v>98000</v>
      </c>
      <c r="J13" s="246" t="s">
        <v>71</v>
      </c>
      <c r="K13" s="248" t="s">
        <v>87</v>
      </c>
      <c r="L13" s="249"/>
      <c r="M13" s="249"/>
      <c r="N13" s="249"/>
      <c r="O13" s="249"/>
      <c r="P13" s="250"/>
      <c r="Q13" s="251"/>
      <c r="R13" s="252"/>
      <c r="S13" s="68">
        <f>I13/G13</f>
        <v>1400</v>
      </c>
      <c r="T13" s="26" t="s">
        <v>31</v>
      </c>
      <c r="U13" s="90"/>
      <c r="V13" s="17"/>
    </row>
    <row r="14" spans="1:22" ht="12.75" customHeight="1">
      <c r="A14" s="16"/>
      <c r="B14" s="167" t="s">
        <v>46</v>
      </c>
      <c r="C14" s="168">
        <v>4</v>
      </c>
      <c r="D14" s="245" t="s">
        <v>73</v>
      </c>
      <c r="E14" s="139" t="s">
        <v>39</v>
      </c>
      <c r="F14" s="140"/>
      <c r="G14" s="244">
        <v>75</v>
      </c>
      <c r="H14" s="141" t="s">
        <v>25</v>
      </c>
      <c r="I14" s="244">
        <f>G14*2000</f>
        <v>150000</v>
      </c>
      <c r="J14" s="158" t="s">
        <v>43</v>
      </c>
      <c r="K14" s="82" t="s">
        <v>89</v>
      </c>
      <c r="L14" s="82"/>
      <c r="M14" s="82"/>
      <c r="N14" s="82"/>
      <c r="O14" s="82"/>
      <c r="P14" s="82"/>
      <c r="Q14" s="82"/>
      <c r="R14" s="70"/>
      <c r="S14" s="117">
        <f t="shared" ref="S14:S15" si="2">I14/G14</f>
        <v>2000</v>
      </c>
      <c r="T14" s="116" t="s">
        <v>31</v>
      </c>
      <c r="U14" s="118"/>
      <c r="V14" s="17"/>
    </row>
    <row r="15" spans="1:22" ht="12.75" customHeight="1">
      <c r="A15" s="16"/>
      <c r="B15" s="167" t="s">
        <v>46</v>
      </c>
      <c r="C15" s="168">
        <v>5</v>
      </c>
      <c r="D15" s="245" t="s">
        <v>73</v>
      </c>
      <c r="E15" s="139" t="s">
        <v>39</v>
      </c>
      <c r="F15" s="140"/>
      <c r="G15" s="244">
        <v>75</v>
      </c>
      <c r="H15" s="141" t="s">
        <v>25</v>
      </c>
      <c r="I15" s="244">
        <f t="shared" ref="I15:I18" si="3">G15*2000</f>
        <v>150000</v>
      </c>
      <c r="J15" s="158" t="s">
        <v>43</v>
      </c>
      <c r="K15" s="82" t="s">
        <v>89</v>
      </c>
      <c r="L15" s="82"/>
      <c r="M15" s="82"/>
      <c r="N15" s="82"/>
      <c r="O15" s="82"/>
      <c r="P15" s="82"/>
      <c r="Q15" s="82"/>
      <c r="R15" s="70"/>
      <c r="S15" s="124">
        <f t="shared" si="2"/>
        <v>2000</v>
      </c>
      <c r="T15" s="69" t="s">
        <v>31</v>
      </c>
      <c r="U15" s="120"/>
      <c r="V15" s="17"/>
    </row>
    <row r="16" spans="1:22" ht="12.75" customHeight="1">
      <c r="A16" s="16"/>
      <c r="B16" s="167" t="s">
        <v>46</v>
      </c>
      <c r="C16" s="168">
        <v>6</v>
      </c>
      <c r="D16" s="245" t="s">
        <v>73</v>
      </c>
      <c r="E16" s="139" t="s">
        <v>39</v>
      </c>
      <c r="F16" s="140"/>
      <c r="G16" s="244">
        <v>75</v>
      </c>
      <c r="H16" s="141" t="s">
        <v>25</v>
      </c>
      <c r="I16" s="244">
        <f t="shared" si="3"/>
        <v>150000</v>
      </c>
      <c r="J16" s="158" t="s">
        <v>43</v>
      </c>
      <c r="K16" s="82" t="s">
        <v>89</v>
      </c>
      <c r="L16" s="82"/>
      <c r="M16" s="82"/>
      <c r="N16" s="82"/>
      <c r="O16" s="82"/>
      <c r="P16" s="82"/>
      <c r="Q16" s="82"/>
      <c r="R16" s="70"/>
      <c r="S16" s="68">
        <f t="shared" ref="S16:S24" si="4">I16/G16</f>
        <v>2000</v>
      </c>
      <c r="T16" s="26" t="s">
        <v>31</v>
      </c>
      <c r="U16" s="90"/>
      <c r="V16" s="17"/>
    </row>
    <row r="17" spans="1:22" ht="12.75" customHeight="1">
      <c r="A17" s="16"/>
      <c r="B17" s="167" t="s">
        <v>46</v>
      </c>
      <c r="C17" s="168">
        <v>7</v>
      </c>
      <c r="D17" s="245" t="s">
        <v>73</v>
      </c>
      <c r="E17" s="139" t="s">
        <v>39</v>
      </c>
      <c r="F17" s="140"/>
      <c r="G17" s="244">
        <v>75</v>
      </c>
      <c r="H17" s="141" t="s">
        <v>25</v>
      </c>
      <c r="I17" s="244">
        <f t="shared" si="3"/>
        <v>150000</v>
      </c>
      <c r="J17" s="158" t="s">
        <v>43</v>
      </c>
      <c r="K17" s="82" t="s">
        <v>89</v>
      </c>
      <c r="L17" s="82"/>
      <c r="M17" s="82"/>
      <c r="N17" s="82"/>
      <c r="O17" s="82"/>
      <c r="P17" s="82"/>
      <c r="Q17" s="82"/>
      <c r="R17" s="70"/>
      <c r="S17" s="68">
        <f t="shared" si="4"/>
        <v>2000</v>
      </c>
      <c r="T17" s="26" t="s">
        <v>31</v>
      </c>
      <c r="U17" s="90"/>
      <c r="V17" s="17"/>
    </row>
    <row r="18" spans="1:22" ht="12.75" customHeight="1" thickBot="1">
      <c r="A18" s="16"/>
      <c r="B18" s="167" t="s">
        <v>46</v>
      </c>
      <c r="C18" s="168">
        <v>8</v>
      </c>
      <c r="D18" s="245" t="s">
        <v>73</v>
      </c>
      <c r="E18" s="139" t="s">
        <v>39</v>
      </c>
      <c r="F18" s="140"/>
      <c r="G18" s="244">
        <v>75</v>
      </c>
      <c r="H18" s="141" t="s">
        <v>25</v>
      </c>
      <c r="I18" s="244">
        <f t="shared" si="3"/>
        <v>150000</v>
      </c>
      <c r="J18" s="158" t="s">
        <v>43</v>
      </c>
      <c r="K18" s="82" t="s">
        <v>89</v>
      </c>
      <c r="L18" s="82"/>
      <c r="M18" s="82"/>
      <c r="N18" s="82"/>
      <c r="O18" s="82"/>
      <c r="P18" s="82"/>
      <c r="Q18" s="82"/>
      <c r="R18" s="70"/>
      <c r="S18" s="68">
        <f t="shared" si="4"/>
        <v>2000</v>
      </c>
      <c r="T18" s="26" t="s">
        <v>31</v>
      </c>
      <c r="U18" s="90"/>
      <c r="V18" s="17"/>
    </row>
    <row r="19" spans="1:22" ht="12.75" customHeight="1" thickBot="1">
      <c r="A19" s="16"/>
      <c r="B19" s="167" t="s">
        <v>46</v>
      </c>
      <c r="C19" s="168">
        <v>9</v>
      </c>
      <c r="D19" s="245" t="s">
        <v>76</v>
      </c>
      <c r="E19" s="245" t="s">
        <v>74</v>
      </c>
      <c r="F19" s="140"/>
      <c r="G19" s="244">
        <v>60</v>
      </c>
      <c r="H19" s="141" t="s">
        <v>25</v>
      </c>
      <c r="I19" s="244">
        <f t="shared" ref="I19:I20" si="5">(G19*2000)*0.5</f>
        <v>60000</v>
      </c>
      <c r="J19" s="247" t="s">
        <v>71</v>
      </c>
      <c r="K19" s="249" t="s">
        <v>72</v>
      </c>
      <c r="L19" s="249"/>
      <c r="M19" s="249"/>
      <c r="N19" s="249"/>
      <c r="O19" s="249"/>
      <c r="P19" s="250"/>
      <c r="Q19" s="251"/>
      <c r="R19" s="252"/>
      <c r="S19" s="68">
        <f t="shared" si="4"/>
        <v>1000</v>
      </c>
      <c r="T19" s="26" t="s">
        <v>31</v>
      </c>
      <c r="U19" s="90"/>
      <c r="V19" s="17"/>
    </row>
    <row r="20" spans="1:22" ht="12.75" customHeight="1" thickBot="1">
      <c r="A20" s="16"/>
      <c r="B20" s="167" t="s">
        <v>46</v>
      </c>
      <c r="C20" s="168">
        <v>10</v>
      </c>
      <c r="D20" s="245" t="s">
        <v>76</v>
      </c>
      <c r="E20" s="245" t="s">
        <v>74</v>
      </c>
      <c r="F20" s="140"/>
      <c r="G20" s="244">
        <v>60</v>
      </c>
      <c r="H20" s="141" t="s">
        <v>25</v>
      </c>
      <c r="I20" s="244">
        <f t="shared" si="5"/>
        <v>60000</v>
      </c>
      <c r="J20" s="247" t="s">
        <v>71</v>
      </c>
      <c r="K20" s="249" t="s">
        <v>72</v>
      </c>
      <c r="L20" s="249"/>
      <c r="M20" s="249"/>
      <c r="N20" s="249"/>
      <c r="O20" s="249"/>
      <c r="P20" s="249"/>
      <c r="Q20" s="249"/>
      <c r="R20" s="250"/>
      <c r="S20" s="68">
        <f t="shared" ref="S20" si="6">I20/G20</f>
        <v>1000</v>
      </c>
      <c r="T20" s="26" t="s">
        <v>31</v>
      </c>
      <c r="U20" s="90"/>
      <c r="V20" s="17"/>
    </row>
    <row r="21" spans="1:22" ht="12.75" customHeight="1" thickBot="1">
      <c r="A21" s="16"/>
      <c r="B21" s="167" t="s">
        <v>46</v>
      </c>
      <c r="C21" s="168">
        <v>11</v>
      </c>
      <c r="D21" s="245" t="s">
        <v>76</v>
      </c>
      <c r="E21" s="245" t="s">
        <v>74</v>
      </c>
      <c r="F21" s="140"/>
      <c r="G21" s="244">
        <v>60</v>
      </c>
      <c r="H21" s="141" t="s">
        <v>25</v>
      </c>
      <c r="I21" s="244">
        <f t="shared" ref="I21:I22" si="7">(G21*2000)*0.5</f>
        <v>60000</v>
      </c>
      <c r="J21" s="247" t="s">
        <v>71</v>
      </c>
      <c r="K21" s="249" t="s">
        <v>72</v>
      </c>
      <c r="L21" s="249"/>
      <c r="M21" s="249"/>
      <c r="N21" s="249"/>
      <c r="O21" s="249"/>
      <c r="P21" s="250"/>
      <c r="Q21" s="251"/>
      <c r="R21" s="252"/>
      <c r="S21" s="68">
        <f>I21/G21</f>
        <v>1000</v>
      </c>
      <c r="T21" s="26" t="s">
        <v>31</v>
      </c>
      <c r="U21" s="90"/>
      <c r="V21" s="17"/>
    </row>
    <row r="22" spans="1:22" ht="12.75" customHeight="1" thickBot="1">
      <c r="A22" s="16"/>
      <c r="B22" s="167" t="s">
        <v>46</v>
      </c>
      <c r="C22" s="168">
        <v>12</v>
      </c>
      <c r="D22" s="245" t="s">
        <v>76</v>
      </c>
      <c r="E22" s="245" t="s">
        <v>74</v>
      </c>
      <c r="F22" s="140"/>
      <c r="G22" s="244">
        <v>60</v>
      </c>
      <c r="H22" s="141" t="s">
        <v>25</v>
      </c>
      <c r="I22" s="244">
        <f t="shared" si="7"/>
        <v>60000</v>
      </c>
      <c r="J22" s="247" t="s">
        <v>71</v>
      </c>
      <c r="K22" s="249" t="s">
        <v>72</v>
      </c>
      <c r="L22" s="249"/>
      <c r="M22" s="249"/>
      <c r="N22" s="249"/>
      <c r="O22" s="249"/>
      <c r="P22" s="249"/>
      <c r="Q22" s="249"/>
      <c r="R22" s="250"/>
      <c r="S22" s="68">
        <f>I22/G22</f>
        <v>1000</v>
      </c>
      <c r="T22" s="26" t="s">
        <v>31</v>
      </c>
      <c r="U22" s="90"/>
      <c r="V22" s="17"/>
    </row>
    <row r="23" spans="1:22" ht="12.75" customHeight="1">
      <c r="A23" s="16"/>
      <c r="B23" s="167" t="s">
        <v>46</v>
      </c>
      <c r="C23" s="168">
        <v>13</v>
      </c>
      <c r="D23" s="245" t="s">
        <v>73</v>
      </c>
      <c r="E23" s="139" t="s">
        <v>39</v>
      </c>
      <c r="F23" s="140"/>
      <c r="G23" s="244">
        <v>75</v>
      </c>
      <c r="H23" s="141" t="s">
        <v>25</v>
      </c>
      <c r="I23" s="244">
        <f t="shared" ref="I23:I27" si="8">G23*2000</f>
        <v>150000</v>
      </c>
      <c r="J23" s="158" t="s">
        <v>43</v>
      </c>
      <c r="K23" s="82" t="s">
        <v>89</v>
      </c>
      <c r="L23" s="82"/>
      <c r="M23" s="82"/>
      <c r="N23" s="82"/>
      <c r="O23" s="82"/>
      <c r="P23" s="82"/>
      <c r="Q23" s="82"/>
      <c r="R23" s="70"/>
      <c r="S23" s="68">
        <f t="shared" ref="S23" si="9">I23/G23</f>
        <v>2000</v>
      </c>
      <c r="T23" s="26" t="s">
        <v>31</v>
      </c>
      <c r="U23" s="90"/>
      <c r="V23" s="17"/>
    </row>
    <row r="24" spans="1:22" ht="12.75" customHeight="1">
      <c r="A24" s="16"/>
      <c r="B24" s="167" t="s">
        <v>46</v>
      </c>
      <c r="C24" s="168">
        <v>14</v>
      </c>
      <c r="D24" s="245" t="s">
        <v>73</v>
      </c>
      <c r="E24" s="139" t="s">
        <v>39</v>
      </c>
      <c r="F24" s="140"/>
      <c r="G24" s="244">
        <v>75</v>
      </c>
      <c r="H24" s="141" t="s">
        <v>25</v>
      </c>
      <c r="I24" s="244">
        <f t="shared" si="8"/>
        <v>150000</v>
      </c>
      <c r="J24" s="158" t="s">
        <v>43</v>
      </c>
      <c r="K24" s="82" t="s">
        <v>89</v>
      </c>
      <c r="L24" s="82"/>
      <c r="M24" s="82"/>
      <c r="N24" s="82"/>
      <c r="O24" s="82"/>
      <c r="P24" s="82"/>
      <c r="Q24" s="82"/>
      <c r="R24" s="70"/>
      <c r="S24" s="68">
        <f t="shared" si="4"/>
        <v>2000</v>
      </c>
      <c r="T24" s="26" t="s">
        <v>31</v>
      </c>
      <c r="U24" s="90"/>
      <c r="V24" s="17"/>
    </row>
    <row r="25" spans="1:22" ht="12.75" customHeight="1">
      <c r="A25" s="16"/>
      <c r="B25" s="167" t="s">
        <v>46</v>
      </c>
      <c r="C25" s="168">
        <v>15</v>
      </c>
      <c r="D25" s="245" t="s">
        <v>73</v>
      </c>
      <c r="E25" s="139" t="s">
        <v>39</v>
      </c>
      <c r="F25" s="140"/>
      <c r="G25" s="244">
        <v>75</v>
      </c>
      <c r="H25" s="141" t="s">
        <v>25</v>
      </c>
      <c r="I25" s="244">
        <f t="shared" si="8"/>
        <v>150000</v>
      </c>
      <c r="J25" s="158" t="s">
        <v>43</v>
      </c>
      <c r="K25" s="82" t="s">
        <v>89</v>
      </c>
      <c r="L25" s="82"/>
      <c r="M25" s="82"/>
      <c r="N25" s="82"/>
      <c r="O25" s="82"/>
      <c r="P25" s="82"/>
      <c r="Q25" s="82"/>
      <c r="R25" s="70"/>
      <c r="S25" s="68">
        <f t="shared" ref="S25" si="10">I25/G25</f>
        <v>2000</v>
      </c>
      <c r="T25" s="26" t="s">
        <v>31</v>
      </c>
      <c r="U25" s="90"/>
      <c r="V25" s="17"/>
    </row>
    <row r="26" spans="1:22" ht="12.75" customHeight="1">
      <c r="A26" s="16"/>
      <c r="B26" s="167" t="s">
        <v>46</v>
      </c>
      <c r="C26" s="168">
        <v>16</v>
      </c>
      <c r="D26" s="245" t="s">
        <v>73</v>
      </c>
      <c r="E26" s="139" t="s">
        <v>39</v>
      </c>
      <c r="F26" s="140"/>
      <c r="G26" s="244">
        <v>75</v>
      </c>
      <c r="H26" s="141" t="s">
        <v>25</v>
      </c>
      <c r="I26" s="244">
        <f t="shared" si="8"/>
        <v>150000</v>
      </c>
      <c r="J26" s="158" t="s">
        <v>43</v>
      </c>
      <c r="K26" s="82" t="s">
        <v>89</v>
      </c>
      <c r="L26" s="165"/>
      <c r="M26" s="165"/>
      <c r="N26" s="165"/>
      <c r="O26" s="165"/>
      <c r="P26" s="165"/>
      <c r="Q26" s="165"/>
      <c r="R26" s="166"/>
      <c r="S26" s="68">
        <f t="shared" ref="S26:S28" si="11">I26/G26</f>
        <v>2000</v>
      </c>
      <c r="T26" s="26" t="s">
        <v>31</v>
      </c>
      <c r="U26" s="90"/>
      <c r="V26" s="17"/>
    </row>
    <row r="27" spans="1:22" ht="12.75" customHeight="1">
      <c r="A27" s="16"/>
      <c r="B27" s="167" t="s">
        <v>46</v>
      </c>
      <c r="C27" s="168">
        <v>17</v>
      </c>
      <c r="D27" s="245" t="s">
        <v>73</v>
      </c>
      <c r="E27" s="139" t="s">
        <v>39</v>
      </c>
      <c r="F27" s="140"/>
      <c r="G27" s="244">
        <v>75</v>
      </c>
      <c r="H27" s="141" t="s">
        <v>25</v>
      </c>
      <c r="I27" s="244">
        <f t="shared" si="8"/>
        <v>150000</v>
      </c>
      <c r="J27" s="158" t="s">
        <v>43</v>
      </c>
      <c r="K27" s="82" t="s">
        <v>89</v>
      </c>
      <c r="L27" s="82"/>
      <c r="M27" s="82"/>
      <c r="N27" s="82"/>
      <c r="O27" s="82"/>
      <c r="P27" s="82"/>
      <c r="Q27" s="82"/>
      <c r="R27" s="70"/>
      <c r="S27" s="68">
        <f t="shared" si="11"/>
        <v>2000</v>
      </c>
      <c r="T27" s="26" t="s">
        <v>31</v>
      </c>
      <c r="U27" s="90"/>
      <c r="V27" s="17"/>
    </row>
    <row r="28" spans="1:22" ht="12.75" customHeight="1">
      <c r="A28" s="16"/>
      <c r="B28" s="167" t="s">
        <v>46</v>
      </c>
      <c r="C28" s="168">
        <v>18</v>
      </c>
      <c r="D28" s="245" t="s">
        <v>73</v>
      </c>
      <c r="E28" s="139" t="s">
        <v>39</v>
      </c>
      <c r="F28" s="140"/>
      <c r="G28" s="244">
        <v>75</v>
      </c>
      <c r="H28" s="141" t="s">
        <v>25</v>
      </c>
      <c r="I28" s="244">
        <f t="shared" ref="I28:I41" si="12">G28*2000</f>
        <v>150000</v>
      </c>
      <c r="J28" s="158" t="s">
        <v>43</v>
      </c>
      <c r="K28" s="82" t="s">
        <v>89</v>
      </c>
      <c r="L28" s="82"/>
      <c r="M28" s="82"/>
      <c r="N28" s="82"/>
      <c r="O28" s="82"/>
      <c r="P28" s="82"/>
      <c r="Q28" s="82"/>
      <c r="R28" s="70"/>
      <c r="S28" s="68">
        <f t="shared" si="11"/>
        <v>2000</v>
      </c>
      <c r="T28" s="26" t="s">
        <v>31</v>
      </c>
      <c r="U28" s="90"/>
      <c r="V28" s="17"/>
    </row>
    <row r="29" spans="1:22" ht="12.75" customHeight="1">
      <c r="A29" s="16"/>
      <c r="B29" s="167" t="s">
        <v>46</v>
      </c>
      <c r="C29" s="168">
        <v>19</v>
      </c>
      <c r="D29" s="245" t="s">
        <v>73</v>
      </c>
      <c r="E29" s="139" t="s">
        <v>39</v>
      </c>
      <c r="F29" s="140"/>
      <c r="G29" s="244">
        <v>75</v>
      </c>
      <c r="H29" s="141" t="s">
        <v>25</v>
      </c>
      <c r="I29" s="244">
        <f t="shared" si="12"/>
        <v>150000</v>
      </c>
      <c r="J29" s="158" t="s">
        <v>43</v>
      </c>
      <c r="K29" s="82" t="s">
        <v>89</v>
      </c>
      <c r="L29" s="82"/>
      <c r="M29" s="82"/>
      <c r="N29" s="82"/>
      <c r="O29" s="82"/>
      <c r="P29" s="82"/>
      <c r="Q29" s="82"/>
      <c r="R29" s="70"/>
      <c r="S29" s="68">
        <f t="shared" ref="S29" si="13">I29/G29</f>
        <v>2000</v>
      </c>
      <c r="T29" s="26" t="s">
        <v>31</v>
      </c>
      <c r="U29" s="90"/>
      <c r="V29" s="17"/>
    </row>
    <row r="30" spans="1:22" ht="12.75" customHeight="1">
      <c r="A30" s="16"/>
      <c r="B30" s="167" t="s">
        <v>46</v>
      </c>
      <c r="C30" s="168">
        <v>20</v>
      </c>
      <c r="D30" s="245" t="s">
        <v>73</v>
      </c>
      <c r="E30" s="139" t="s">
        <v>39</v>
      </c>
      <c r="F30" s="140"/>
      <c r="G30" s="244">
        <v>75</v>
      </c>
      <c r="H30" s="141" t="s">
        <v>25</v>
      </c>
      <c r="I30" s="244">
        <f t="shared" si="12"/>
        <v>150000</v>
      </c>
      <c r="J30" s="158" t="s">
        <v>43</v>
      </c>
      <c r="K30" s="82" t="s">
        <v>89</v>
      </c>
      <c r="L30" s="82"/>
      <c r="M30" s="82"/>
      <c r="N30" s="82"/>
      <c r="O30" s="82"/>
      <c r="P30" s="82"/>
      <c r="Q30" s="82"/>
      <c r="R30" s="70"/>
      <c r="S30" s="68">
        <f t="shared" ref="S30" si="14">I30/G30</f>
        <v>2000</v>
      </c>
      <c r="T30" s="26" t="s">
        <v>31</v>
      </c>
      <c r="U30" s="90"/>
      <c r="V30" s="17"/>
    </row>
    <row r="31" spans="1:22" ht="12.75" customHeight="1">
      <c r="A31" s="16"/>
      <c r="B31" s="167" t="s">
        <v>46</v>
      </c>
      <c r="C31" s="168">
        <v>21</v>
      </c>
      <c r="D31" s="245" t="s">
        <v>38</v>
      </c>
      <c r="E31" s="139" t="s">
        <v>39</v>
      </c>
      <c r="F31" s="140"/>
      <c r="G31" s="244">
        <v>100</v>
      </c>
      <c r="H31" s="141" t="s">
        <v>25</v>
      </c>
      <c r="I31" s="244">
        <f t="shared" si="12"/>
        <v>200000</v>
      </c>
      <c r="J31" s="158" t="s">
        <v>43</v>
      </c>
      <c r="K31" s="82" t="s">
        <v>89</v>
      </c>
      <c r="L31" s="70"/>
      <c r="M31" s="70"/>
      <c r="N31" s="70"/>
      <c r="O31" s="70"/>
      <c r="P31" s="70"/>
      <c r="Q31" s="119"/>
      <c r="R31" s="140"/>
      <c r="S31" s="68">
        <f>I31/G31</f>
        <v>2000</v>
      </c>
      <c r="T31" s="26" t="s">
        <v>31</v>
      </c>
      <c r="U31" s="90"/>
      <c r="V31" s="17"/>
    </row>
    <row r="32" spans="1:22" ht="12.75" customHeight="1">
      <c r="A32" s="16"/>
      <c r="B32" s="167" t="s">
        <v>46</v>
      </c>
      <c r="C32" s="168">
        <v>22</v>
      </c>
      <c r="D32" s="245" t="s">
        <v>38</v>
      </c>
      <c r="E32" s="139" t="s">
        <v>39</v>
      </c>
      <c r="F32" s="140"/>
      <c r="G32" s="244">
        <v>100</v>
      </c>
      <c r="H32" s="141" t="s">
        <v>25</v>
      </c>
      <c r="I32" s="244">
        <f t="shared" si="12"/>
        <v>200000</v>
      </c>
      <c r="J32" s="158" t="s">
        <v>43</v>
      </c>
      <c r="K32" s="82" t="s">
        <v>89</v>
      </c>
      <c r="L32" s="82"/>
      <c r="M32" s="82"/>
      <c r="N32" s="82"/>
      <c r="O32" s="82"/>
      <c r="P32" s="82"/>
      <c r="Q32" s="82"/>
      <c r="R32" s="70"/>
      <c r="S32" s="68">
        <f>I32/G32</f>
        <v>2000</v>
      </c>
      <c r="T32" s="26" t="s">
        <v>31</v>
      </c>
      <c r="U32" s="90"/>
      <c r="V32" s="17"/>
    </row>
    <row r="33" spans="1:22" ht="12.75" customHeight="1">
      <c r="A33" s="16"/>
      <c r="B33" s="167" t="s">
        <v>46</v>
      </c>
      <c r="C33" s="168">
        <v>23</v>
      </c>
      <c r="D33" s="245" t="s">
        <v>38</v>
      </c>
      <c r="E33" s="139" t="s">
        <v>39</v>
      </c>
      <c r="F33" s="140"/>
      <c r="G33" s="244">
        <v>100</v>
      </c>
      <c r="H33" s="141" t="s">
        <v>25</v>
      </c>
      <c r="I33" s="244">
        <f t="shared" si="12"/>
        <v>200000</v>
      </c>
      <c r="J33" s="158" t="s">
        <v>43</v>
      </c>
      <c r="K33" s="82" t="s">
        <v>89</v>
      </c>
      <c r="L33" s="82"/>
      <c r="M33" s="82"/>
      <c r="N33" s="82"/>
      <c r="O33" s="82"/>
      <c r="P33" s="82"/>
      <c r="Q33" s="82"/>
      <c r="R33" s="70"/>
      <c r="S33" s="117">
        <f t="shared" ref="S33:S50" si="15">I33/G33</f>
        <v>2000</v>
      </c>
      <c r="T33" s="116" t="s">
        <v>31</v>
      </c>
      <c r="U33" s="118"/>
      <c r="V33" s="17"/>
    </row>
    <row r="34" spans="1:22" ht="12.75" customHeight="1">
      <c r="A34" s="16"/>
      <c r="B34" s="167" t="s">
        <v>46</v>
      </c>
      <c r="C34" s="168">
        <v>24</v>
      </c>
      <c r="D34" s="245" t="s">
        <v>38</v>
      </c>
      <c r="E34" s="139" t="s">
        <v>39</v>
      </c>
      <c r="F34" s="140"/>
      <c r="G34" s="244">
        <v>90</v>
      </c>
      <c r="H34" s="141" t="s">
        <v>25</v>
      </c>
      <c r="I34" s="244">
        <f t="shared" si="12"/>
        <v>180000</v>
      </c>
      <c r="J34" s="158" t="s">
        <v>43</v>
      </c>
      <c r="K34" s="82" t="s">
        <v>89</v>
      </c>
      <c r="L34" s="82"/>
      <c r="M34" s="82"/>
      <c r="N34" s="82"/>
      <c r="O34" s="82"/>
      <c r="P34" s="82"/>
      <c r="Q34" s="82"/>
      <c r="R34" s="70"/>
      <c r="S34" s="117">
        <f t="shared" si="15"/>
        <v>2000</v>
      </c>
      <c r="T34" s="116" t="s">
        <v>31</v>
      </c>
      <c r="U34" s="118"/>
      <c r="V34" s="17"/>
    </row>
    <row r="35" spans="1:22" ht="12.75" customHeight="1">
      <c r="A35" s="16"/>
      <c r="B35" s="167" t="s">
        <v>46</v>
      </c>
      <c r="C35" s="168">
        <v>25</v>
      </c>
      <c r="D35" s="245" t="s">
        <v>38</v>
      </c>
      <c r="E35" s="139" t="s">
        <v>39</v>
      </c>
      <c r="F35" s="140"/>
      <c r="G35" s="244">
        <v>90</v>
      </c>
      <c r="H35" s="141" t="s">
        <v>25</v>
      </c>
      <c r="I35" s="244">
        <f t="shared" si="12"/>
        <v>180000</v>
      </c>
      <c r="J35" s="158" t="s">
        <v>43</v>
      </c>
      <c r="K35" s="82" t="s">
        <v>89</v>
      </c>
      <c r="L35" s="82"/>
      <c r="M35" s="82"/>
      <c r="N35" s="82"/>
      <c r="O35" s="82"/>
      <c r="P35" s="82"/>
      <c r="Q35" s="82"/>
      <c r="R35" s="70"/>
      <c r="S35" s="124">
        <f t="shared" si="15"/>
        <v>2000</v>
      </c>
      <c r="T35" s="69" t="s">
        <v>31</v>
      </c>
      <c r="U35" s="120"/>
      <c r="V35" s="17"/>
    </row>
    <row r="36" spans="1:22" ht="12.75" customHeight="1">
      <c r="A36" s="16"/>
      <c r="B36" s="167" t="s">
        <v>46</v>
      </c>
      <c r="C36" s="168">
        <v>26</v>
      </c>
      <c r="D36" s="245" t="s">
        <v>38</v>
      </c>
      <c r="E36" s="139" t="s">
        <v>39</v>
      </c>
      <c r="F36" s="140"/>
      <c r="G36" s="244">
        <v>90</v>
      </c>
      <c r="H36" s="141" t="s">
        <v>25</v>
      </c>
      <c r="I36" s="244">
        <f t="shared" si="12"/>
        <v>180000</v>
      </c>
      <c r="J36" s="158" t="s">
        <v>43</v>
      </c>
      <c r="K36" s="82" t="s">
        <v>89</v>
      </c>
      <c r="L36" s="82"/>
      <c r="M36" s="82"/>
      <c r="N36" s="82"/>
      <c r="O36" s="82"/>
      <c r="P36" s="82"/>
      <c r="Q36" s="82"/>
      <c r="R36" s="70"/>
      <c r="S36" s="68">
        <f t="shared" si="15"/>
        <v>2000</v>
      </c>
      <c r="T36" s="26" t="s">
        <v>31</v>
      </c>
      <c r="U36" s="90"/>
      <c r="V36" s="17"/>
    </row>
    <row r="37" spans="1:22" ht="12.75" customHeight="1">
      <c r="A37" s="16"/>
      <c r="B37" s="167" t="s">
        <v>46</v>
      </c>
      <c r="C37" s="168">
        <v>27</v>
      </c>
      <c r="D37" s="245" t="s">
        <v>38</v>
      </c>
      <c r="E37" s="139" t="s">
        <v>39</v>
      </c>
      <c r="F37" s="140"/>
      <c r="G37" s="244">
        <v>90</v>
      </c>
      <c r="H37" s="141" t="s">
        <v>25</v>
      </c>
      <c r="I37" s="244">
        <f t="shared" si="12"/>
        <v>180000</v>
      </c>
      <c r="J37" s="158" t="s">
        <v>43</v>
      </c>
      <c r="K37" s="82" t="s">
        <v>89</v>
      </c>
      <c r="L37" s="82"/>
      <c r="M37" s="82"/>
      <c r="N37" s="82"/>
      <c r="O37" s="82"/>
      <c r="P37" s="82"/>
      <c r="Q37" s="82"/>
      <c r="R37" s="70"/>
      <c r="S37" s="68">
        <f t="shared" si="15"/>
        <v>2000</v>
      </c>
      <c r="T37" s="26" t="s">
        <v>31</v>
      </c>
      <c r="U37" s="90"/>
      <c r="V37" s="17"/>
    </row>
    <row r="38" spans="1:22" ht="12.75" customHeight="1">
      <c r="A38" s="16"/>
      <c r="B38" s="167" t="s">
        <v>46</v>
      </c>
      <c r="C38" s="168">
        <v>28</v>
      </c>
      <c r="D38" s="245" t="s">
        <v>38</v>
      </c>
      <c r="E38" s="139" t="s">
        <v>39</v>
      </c>
      <c r="F38" s="140"/>
      <c r="G38" s="244">
        <v>90</v>
      </c>
      <c r="H38" s="141" t="s">
        <v>25</v>
      </c>
      <c r="I38" s="244">
        <f t="shared" si="12"/>
        <v>180000</v>
      </c>
      <c r="J38" s="158" t="s">
        <v>43</v>
      </c>
      <c r="K38" s="82" t="s">
        <v>89</v>
      </c>
      <c r="L38" s="82"/>
      <c r="M38" s="82"/>
      <c r="N38" s="82"/>
      <c r="O38" s="82"/>
      <c r="P38" s="82"/>
      <c r="Q38" s="82"/>
      <c r="R38" s="70"/>
      <c r="S38" s="68">
        <f t="shared" si="15"/>
        <v>2000</v>
      </c>
      <c r="T38" s="26" t="s">
        <v>31</v>
      </c>
      <c r="U38" s="90"/>
      <c r="V38" s="17"/>
    </row>
    <row r="39" spans="1:22" ht="12.75" customHeight="1">
      <c r="A39" s="16"/>
      <c r="B39" s="167" t="s">
        <v>46</v>
      </c>
      <c r="C39" s="168">
        <v>29</v>
      </c>
      <c r="D39" s="245" t="s">
        <v>38</v>
      </c>
      <c r="E39" s="139" t="s">
        <v>39</v>
      </c>
      <c r="F39" s="140"/>
      <c r="G39" s="244">
        <v>100</v>
      </c>
      <c r="H39" s="141" t="s">
        <v>25</v>
      </c>
      <c r="I39" s="244">
        <f t="shared" si="12"/>
        <v>200000</v>
      </c>
      <c r="J39" s="158" t="s">
        <v>43</v>
      </c>
      <c r="K39" s="82" t="s">
        <v>89</v>
      </c>
      <c r="L39" s="82"/>
      <c r="M39" s="82"/>
      <c r="N39" s="82"/>
      <c r="O39" s="82"/>
      <c r="P39" s="82"/>
      <c r="Q39" s="82"/>
      <c r="R39" s="70"/>
      <c r="S39" s="68">
        <f t="shared" si="15"/>
        <v>2000</v>
      </c>
      <c r="T39" s="26" t="s">
        <v>31</v>
      </c>
      <c r="U39" s="90"/>
      <c r="V39" s="17"/>
    </row>
    <row r="40" spans="1:22" ht="12.75" customHeight="1">
      <c r="A40" s="16"/>
      <c r="B40" s="167" t="s">
        <v>46</v>
      </c>
      <c r="C40" s="168">
        <v>30</v>
      </c>
      <c r="D40" s="245" t="s">
        <v>38</v>
      </c>
      <c r="E40" s="139" t="s">
        <v>39</v>
      </c>
      <c r="F40" s="140"/>
      <c r="G40" s="244">
        <v>100</v>
      </c>
      <c r="H40" s="141" t="s">
        <v>25</v>
      </c>
      <c r="I40" s="244">
        <f t="shared" si="12"/>
        <v>200000</v>
      </c>
      <c r="J40" s="158" t="s">
        <v>43</v>
      </c>
      <c r="K40" s="82" t="s">
        <v>89</v>
      </c>
      <c r="L40" s="82"/>
      <c r="M40" s="82"/>
      <c r="N40" s="82"/>
      <c r="O40" s="82"/>
      <c r="P40" s="82"/>
      <c r="Q40" s="82"/>
      <c r="R40" s="70"/>
      <c r="S40" s="68">
        <f t="shared" si="15"/>
        <v>2000</v>
      </c>
      <c r="T40" s="26" t="s">
        <v>31</v>
      </c>
      <c r="U40" s="90"/>
      <c r="V40" s="17"/>
    </row>
    <row r="41" spans="1:22" ht="12.75" customHeight="1" thickBot="1">
      <c r="A41" s="16"/>
      <c r="B41" s="167" t="s">
        <v>46</v>
      </c>
      <c r="C41" s="168">
        <v>31</v>
      </c>
      <c r="D41" s="245" t="s">
        <v>38</v>
      </c>
      <c r="E41" s="139" t="s">
        <v>39</v>
      </c>
      <c r="F41" s="140"/>
      <c r="G41" s="244">
        <v>100</v>
      </c>
      <c r="H41" s="141" t="s">
        <v>25</v>
      </c>
      <c r="I41" s="244">
        <f t="shared" si="12"/>
        <v>200000</v>
      </c>
      <c r="J41" s="158" t="s">
        <v>43</v>
      </c>
      <c r="K41" s="82" t="s">
        <v>89</v>
      </c>
      <c r="L41" s="82"/>
      <c r="M41" s="82"/>
      <c r="N41" s="82"/>
      <c r="O41" s="82"/>
      <c r="P41" s="82"/>
      <c r="Q41" s="82"/>
      <c r="R41" s="70"/>
      <c r="S41" s="68">
        <f t="shared" si="15"/>
        <v>2000</v>
      </c>
      <c r="T41" s="26" t="s">
        <v>31</v>
      </c>
      <c r="U41" s="90"/>
      <c r="V41" s="17"/>
    </row>
    <row r="42" spans="1:22" ht="12.75" customHeight="1" thickBot="1">
      <c r="A42" s="16"/>
      <c r="B42" s="167" t="s">
        <v>46</v>
      </c>
      <c r="C42" s="168">
        <v>32</v>
      </c>
      <c r="D42" s="245" t="s">
        <v>38</v>
      </c>
      <c r="E42" s="139" t="s">
        <v>39</v>
      </c>
      <c r="F42" s="140"/>
      <c r="G42" s="244">
        <v>90</v>
      </c>
      <c r="H42" s="141" t="s">
        <v>25</v>
      </c>
      <c r="I42" s="244">
        <f t="shared" ref="I42:I43" si="16">(G42*2000)*0.7</f>
        <v>125999.99999999999</v>
      </c>
      <c r="J42" s="246" t="s">
        <v>71</v>
      </c>
      <c r="K42" s="248" t="s">
        <v>87</v>
      </c>
      <c r="L42" s="249"/>
      <c r="M42" s="249"/>
      <c r="N42" s="249"/>
      <c r="O42" s="249"/>
      <c r="P42" s="250"/>
      <c r="Q42" s="251"/>
      <c r="R42" s="252"/>
      <c r="S42" s="68">
        <f t="shared" si="15"/>
        <v>1399.9999999999998</v>
      </c>
      <c r="T42" s="26" t="s">
        <v>31</v>
      </c>
      <c r="U42" s="90"/>
      <c r="V42" s="17"/>
    </row>
    <row r="43" spans="1:22" ht="12.75" customHeight="1" thickBot="1">
      <c r="A43" s="16"/>
      <c r="B43" s="167" t="s">
        <v>46</v>
      </c>
      <c r="C43" s="168">
        <v>33</v>
      </c>
      <c r="D43" s="245" t="s">
        <v>38</v>
      </c>
      <c r="E43" s="139" t="s">
        <v>39</v>
      </c>
      <c r="F43" s="140"/>
      <c r="G43" s="244">
        <v>90</v>
      </c>
      <c r="H43" s="141" t="s">
        <v>25</v>
      </c>
      <c r="I43" s="244">
        <f t="shared" si="16"/>
        <v>125999.99999999999</v>
      </c>
      <c r="J43" s="246" t="s">
        <v>71</v>
      </c>
      <c r="K43" s="248" t="s">
        <v>87</v>
      </c>
      <c r="L43" s="249"/>
      <c r="M43" s="249"/>
      <c r="N43" s="249"/>
      <c r="O43" s="249"/>
      <c r="P43" s="249"/>
      <c r="Q43" s="249"/>
      <c r="R43" s="250"/>
      <c r="S43" s="68">
        <f t="shared" si="15"/>
        <v>1399.9999999999998</v>
      </c>
      <c r="T43" s="26" t="s">
        <v>31</v>
      </c>
      <c r="U43" s="90"/>
      <c r="V43" s="17"/>
    </row>
    <row r="44" spans="1:22" ht="12.75" customHeight="1" thickBot="1">
      <c r="A44" s="16"/>
      <c r="B44" s="167" t="s">
        <v>46</v>
      </c>
      <c r="C44" s="168">
        <v>34</v>
      </c>
      <c r="D44" s="245" t="s">
        <v>38</v>
      </c>
      <c r="E44" s="139" t="s">
        <v>39</v>
      </c>
      <c r="F44" s="140"/>
      <c r="G44" s="244">
        <v>90</v>
      </c>
      <c r="H44" s="141" t="s">
        <v>25</v>
      </c>
      <c r="I44" s="244">
        <f>(G44*2000)*0.7</f>
        <v>125999.99999999999</v>
      </c>
      <c r="J44" s="246" t="s">
        <v>71</v>
      </c>
      <c r="K44" s="248" t="s">
        <v>87</v>
      </c>
      <c r="L44" s="249"/>
      <c r="M44" s="249"/>
      <c r="N44" s="249"/>
      <c r="O44" s="249"/>
      <c r="P44" s="249"/>
      <c r="Q44" s="249"/>
      <c r="R44" s="250"/>
      <c r="S44" s="68">
        <f>I44/G44</f>
        <v>1399.9999999999998</v>
      </c>
      <c r="T44" s="26" t="s">
        <v>31</v>
      </c>
      <c r="U44" s="90"/>
      <c r="V44" s="17"/>
    </row>
    <row r="45" spans="1:22" ht="12.75" customHeight="1">
      <c r="A45" s="16"/>
      <c r="B45" s="167" t="s">
        <v>46</v>
      </c>
      <c r="C45" s="168">
        <v>35</v>
      </c>
      <c r="D45" s="245" t="s">
        <v>88</v>
      </c>
      <c r="E45" s="139" t="s">
        <v>39</v>
      </c>
      <c r="F45" s="140"/>
      <c r="G45" s="244">
        <v>120</v>
      </c>
      <c r="H45" s="141" t="s">
        <v>25</v>
      </c>
      <c r="I45" s="244">
        <f t="shared" ref="I45:I50" si="17">G45*2000</f>
        <v>240000</v>
      </c>
      <c r="J45" s="158" t="s">
        <v>43</v>
      </c>
      <c r="K45" s="82" t="s">
        <v>89</v>
      </c>
      <c r="L45" s="165"/>
      <c r="M45" s="165"/>
      <c r="N45" s="165"/>
      <c r="O45" s="165"/>
      <c r="P45" s="165"/>
      <c r="Q45" s="165"/>
      <c r="R45" s="166"/>
      <c r="S45" s="68">
        <f t="shared" si="15"/>
        <v>2000</v>
      </c>
      <c r="T45" s="26" t="s">
        <v>31</v>
      </c>
      <c r="U45" s="90"/>
      <c r="V45" s="17"/>
    </row>
    <row r="46" spans="1:22" ht="12.75" customHeight="1">
      <c r="A46" s="16"/>
      <c r="B46" s="167" t="s">
        <v>46</v>
      </c>
      <c r="C46" s="168">
        <v>36</v>
      </c>
      <c r="D46" s="245" t="s">
        <v>88</v>
      </c>
      <c r="E46" s="139" t="s">
        <v>39</v>
      </c>
      <c r="F46" s="140"/>
      <c r="G46" s="244">
        <v>120</v>
      </c>
      <c r="H46" s="141" t="s">
        <v>25</v>
      </c>
      <c r="I46" s="244">
        <f t="shared" si="17"/>
        <v>240000</v>
      </c>
      <c r="J46" s="158" t="s">
        <v>43</v>
      </c>
      <c r="K46" s="82" t="s">
        <v>89</v>
      </c>
      <c r="L46" s="82"/>
      <c r="M46" s="82"/>
      <c r="N46" s="82"/>
      <c r="O46" s="82"/>
      <c r="P46" s="82"/>
      <c r="Q46" s="82"/>
      <c r="R46" s="70"/>
      <c r="S46" s="68">
        <f t="shared" si="15"/>
        <v>2000</v>
      </c>
      <c r="T46" s="26" t="s">
        <v>31</v>
      </c>
      <c r="U46" s="90"/>
      <c r="V46" s="17"/>
    </row>
    <row r="47" spans="1:22" ht="12.75" customHeight="1">
      <c r="A47" s="16"/>
      <c r="B47" s="167" t="s">
        <v>46</v>
      </c>
      <c r="C47" s="168">
        <v>37</v>
      </c>
      <c r="D47" s="245" t="s">
        <v>88</v>
      </c>
      <c r="E47" s="139" t="s">
        <v>39</v>
      </c>
      <c r="F47" s="140"/>
      <c r="G47" s="244">
        <v>120</v>
      </c>
      <c r="H47" s="141" t="s">
        <v>25</v>
      </c>
      <c r="I47" s="244">
        <f t="shared" si="17"/>
        <v>240000</v>
      </c>
      <c r="J47" s="158" t="s">
        <v>43</v>
      </c>
      <c r="K47" s="82" t="s">
        <v>89</v>
      </c>
      <c r="L47" s="82"/>
      <c r="M47" s="82"/>
      <c r="N47" s="82"/>
      <c r="O47" s="82"/>
      <c r="P47" s="82"/>
      <c r="Q47" s="82"/>
      <c r="R47" s="70"/>
      <c r="S47" s="68">
        <f t="shared" si="15"/>
        <v>2000</v>
      </c>
      <c r="T47" s="26" t="s">
        <v>31</v>
      </c>
      <c r="U47" s="90"/>
      <c r="V47" s="17"/>
    </row>
    <row r="48" spans="1:22" ht="12.75" customHeight="1">
      <c r="A48" s="16"/>
      <c r="B48" s="167" t="s">
        <v>46</v>
      </c>
      <c r="C48" s="168">
        <v>38</v>
      </c>
      <c r="D48" s="245" t="s">
        <v>88</v>
      </c>
      <c r="E48" s="139" t="s">
        <v>39</v>
      </c>
      <c r="F48" s="140"/>
      <c r="G48" s="244">
        <v>150</v>
      </c>
      <c r="H48" s="141" t="s">
        <v>25</v>
      </c>
      <c r="I48" s="244">
        <f t="shared" si="17"/>
        <v>300000</v>
      </c>
      <c r="J48" s="158" t="s">
        <v>43</v>
      </c>
      <c r="K48" s="82" t="s">
        <v>89</v>
      </c>
      <c r="L48" s="82"/>
      <c r="M48" s="82"/>
      <c r="N48" s="82"/>
      <c r="O48" s="82"/>
      <c r="P48" s="82"/>
      <c r="Q48" s="82"/>
      <c r="R48" s="70"/>
      <c r="S48" s="68">
        <f t="shared" si="15"/>
        <v>2000</v>
      </c>
      <c r="T48" s="26" t="s">
        <v>31</v>
      </c>
      <c r="U48" s="90"/>
      <c r="V48" s="17"/>
    </row>
    <row r="49" spans="1:22" ht="12.75" customHeight="1">
      <c r="A49" s="16"/>
      <c r="B49" s="167" t="s">
        <v>46</v>
      </c>
      <c r="C49" s="168">
        <v>39</v>
      </c>
      <c r="D49" s="245" t="s">
        <v>88</v>
      </c>
      <c r="E49" s="139" t="s">
        <v>39</v>
      </c>
      <c r="F49" s="140"/>
      <c r="G49" s="244">
        <v>150</v>
      </c>
      <c r="H49" s="141" t="s">
        <v>25</v>
      </c>
      <c r="I49" s="244">
        <f t="shared" si="17"/>
        <v>300000</v>
      </c>
      <c r="J49" s="158" t="s">
        <v>43</v>
      </c>
      <c r="K49" s="82" t="s">
        <v>89</v>
      </c>
      <c r="L49" s="82"/>
      <c r="M49" s="82"/>
      <c r="N49" s="82"/>
      <c r="O49" s="82"/>
      <c r="P49" s="82"/>
      <c r="Q49" s="82"/>
      <c r="R49" s="70"/>
      <c r="S49" s="68">
        <f t="shared" ref="S49" si="18">I49/G49</f>
        <v>2000</v>
      </c>
      <c r="T49" s="26" t="s">
        <v>31</v>
      </c>
      <c r="U49" s="90"/>
      <c r="V49" s="17"/>
    </row>
    <row r="50" spans="1:22" ht="12.75" customHeight="1">
      <c r="A50" s="16"/>
      <c r="B50" s="167" t="s">
        <v>46</v>
      </c>
      <c r="C50" s="168">
        <v>40</v>
      </c>
      <c r="D50" s="245" t="s">
        <v>88</v>
      </c>
      <c r="E50" s="139" t="s">
        <v>39</v>
      </c>
      <c r="F50" s="140"/>
      <c r="G50" s="244">
        <v>150</v>
      </c>
      <c r="H50" s="141" t="s">
        <v>25</v>
      </c>
      <c r="I50" s="244">
        <f t="shared" si="17"/>
        <v>300000</v>
      </c>
      <c r="J50" s="158" t="s">
        <v>43</v>
      </c>
      <c r="K50" s="82" t="s">
        <v>89</v>
      </c>
      <c r="L50" s="82"/>
      <c r="M50" s="82"/>
      <c r="N50" s="82"/>
      <c r="O50" s="82"/>
      <c r="P50" s="82"/>
      <c r="Q50" s="82"/>
      <c r="R50" s="70"/>
      <c r="S50" s="68">
        <f t="shared" si="15"/>
        <v>2000</v>
      </c>
      <c r="T50" s="26" t="s">
        <v>31</v>
      </c>
      <c r="U50" s="90"/>
      <c r="V50" s="17"/>
    </row>
    <row r="51" spans="1:22" ht="9" customHeight="1">
      <c r="A51" s="16"/>
      <c r="B51" s="143"/>
      <c r="C51" s="100"/>
      <c r="D51" s="100"/>
      <c r="E51" s="100"/>
      <c r="F51" s="138"/>
      <c r="G51" s="138"/>
      <c r="H51" s="138"/>
      <c r="I51" s="180"/>
      <c r="J51" s="151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90"/>
      <c r="V51" s="17"/>
    </row>
    <row r="52" spans="1:22" ht="21.6" customHeight="1">
      <c r="A52" s="16"/>
      <c r="B52" s="148"/>
      <c r="C52" s="145" t="s">
        <v>40</v>
      </c>
      <c r="D52" s="181">
        <f>(SUM(G11:G50))/(E5)</f>
        <v>88.875</v>
      </c>
      <c r="E52" s="146" t="s">
        <v>25</v>
      </c>
      <c r="F52" s="227" t="s">
        <v>32</v>
      </c>
      <c r="G52" s="147">
        <f>SUM(G11:G50)</f>
        <v>3555</v>
      </c>
      <c r="H52" s="149" t="s">
        <v>25</v>
      </c>
      <c r="I52" s="150">
        <f>SUM(I11:I50)</f>
        <v>6554000</v>
      </c>
      <c r="J52" s="152"/>
      <c r="K52" s="26"/>
      <c r="L52" s="133"/>
      <c r="M52" s="133"/>
      <c r="N52" s="133"/>
      <c r="O52" s="133"/>
      <c r="P52" s="133"/>
      <c r="Q52" s="133"/>
      <c r="R52" s="133"/>
      <c r="S52" s="133"/>
      <c r="T52" s="133"/>
      <c r="U52" s="90"/>
      <c r="V52" s="17"/>
    </row>
    <row r="53" spans="1:22" ht="8.25" customHeight="1" thickBot="1">
      <c r="A53" s="16"/>
      <c r="B53" s="144"/>
      <c r="C53" s="142"/>
      <c r="D53" s="142"/>
      <c r="E53" s="142"/>
      <c r="F53" s="94"/>
      <c r="G53" s="94"/>
      <c r="H53" s="94"/>
      <c r="I53" s="96"/>
      <c r="J53" s="153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97"/>
      <c r="V53" s="17"/>
    </row>
    <row r="54" spans="1:22" ht="21" customHeight="1" thickBot="1">
      <c r="A54" s="2"/>
      <c r="B54" s="99"/>
      <c r="C54" s="100"/>
      <c r="D54" s="100"/>
      <c r="E54" s="100"/>
      <c r="F54" s="100"/>
      <c r="G54" s="100"/>
      <c r="H54" s="100"/>
      <c r="I54" s="100"/>
      <c r="J54" s="154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2"/>
    </row>
    <row r="55" spans="1:22" ht="21" customHeight="1">
      <c r="A55" s="16"/>
      <c r="B55" s="102" t="s">
        <v>7</v>
      </c>
      <c r="C55" s="103"/>
      <c r="D55" s="103"/>
      <c r="E55" s="62"/>
      <c r="F55" s="62"/>
      <c r="G55" s="62"/>
      <c r="H55" s="62"/>
      <c r="I55" s="104"/>
      <c r="J55" s="62"/>
      <c r="K55" s="62"/>
      <c r="L55" s="62"/>
      <c r="M55" s="62"/>
      <c r="N55" s="62"/>
      <c r="O55" s="62"/>
      <c r="P55" s="62"/>
      <c r="Q55" s="105"/>
      <c r="R55" s="62"/>
      <c r="S55" s="62"/>
      <c r="T55" s="62"/>
      <c r="U55" s="88"/>
      <c r="V55" s="17"/>
    </row>
    <row r="56" spans="1:22" ht="15">
      <c r="A56" s="16"/>
      <c r="B56" s="63" t="s">
        <v>8</v>
      </c>
      <c r="C56" s="134"/>
      <c r="D56" s="134"/>
      <c r="E56" s="134"/>
      <c r="F56" s="134"/>
      <c r="G56" s="134"/>
      <c r="H56" s="134"/>
      <c r="I56" s="31"/>
      <c r="J56" s="134"/>
      <c r="K56" s="284"/>
      <c r="L56" s="273"/>
      <c r="M56" s="273"/>
      <c r="N56" s="273"/>
      <c r="O56" s="273"/>
      <c r="P56" s="273"/>
      <c r="Q56" s="282"/>
      <c r="R56" s="273"/>
      <c r="S56" s="273"/>
      <c r="T56" s="273"/>
      <c r="U56" s="274"/>
      <c r="V56" s="17"/>
    </row>
    <row r="57" spans="1:22" ht="14.25" customHeight="1">
      <c r="A57" s="16"/>
      <c r="B57" s="89"/>
      <c r="C57" s="159" t="s">
        <v>9</v>
      </c>
      <c r="D57" s="160"/>
      <c r="E57" s="160"/>
      <c r="F57" s="160"/>
      <c r="G57" s="160"/>
      <c r="H57" s="130"/>
      <c r="I57" s="161"/>
      <c r="J57" s="16"/>
      <c r="K57" s="286" t="s">
        <v>75</v>
      </c>
      <c r="L57" s="269"/>
      <c r="M57" s="100"/>
      <c r="N57" s="100"/>
      <c r="O57" s="100"/>
      <c r="P57" s="100"/>
      <c r="Q57" s="283"/>
      <c r="R57" s="100"/>
      <c r="S57" s="100"/>
      <c r="T57" s="100"/>
      <c r="U57" s="233"/>
      <c r="V57" s="17"/>
    </row>
    <row r="58" spans="1:22" ht="14.25" customHeight="1">
      <c r="A58" s="16"/>
      <c r="B58" s="89"/>
      <c r="C58" s="162"/>
      <c r="D58" s="253">
        <v>2</v>
      </c>
      <c r="E58" s="169" t="s">
        <v>45</v>
      </c>
      <c r="F58" s="254">
        <v>200000</v>
      </c>
      <c r="G58" s="170" t="s">
        <v>44</v>
      </c>
      <c r="H58" s="171">
        <f>D58*F58</f>
        <v>400000</v>
      </c>
      <c r="I58" s="132">
        <f>H58</f>
        <v>400000</v>
      </c>
      <c r="J58" s="16"/>
      <c r="K58" s="285" t="s">
        <v>83</v>
      </c>
      <c r="L58" s="273"/>
      <c r="M58" s="273"/>
      <c r="N58" s="273"/>
      <c r="O58" s="273"/>
      <c r="P58" s="273"/>
      <c r="Q58" s="282"/>
      <c r="R58" s="273"/>
      <c r="S58" s="273"/>
      <c r="T58" s="273"/>
      <c r="U58" s="274"/>
      <c r="V58" s="17"/>
    </row>
    <row r="59" spans="1:22" ht="14.25">
      <c r="A59" s="16"/>
      <c r="B59" s="89"/>
      <c r="C59" s="34" t="s">
        <v>10</v>
      </c>
      <c r="D59" s="106"/>
      <c r="E59" s="34"/>
      <c r="F59" s="34"/>
      <c r="G59" s="34"/>
      <c r="H59" s="134"/>
      <c r="I59" s="68">
        <f>MAX(0,((I58-250000)*0.05)+(100000*0.02)+(150000*0))</f>
        <v>9500</v>
      </c>
      <c r="J59" s="16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3"/>
      <c r="V59" s="17"/>
    </row>
    <row r="60" spans="1:22" ht="14.25">
      <c r="A60" s="16"/>
      <c r="B60" s="89"/>
      <c r="C60" s="34" t="s">
        <v>11</v>
      </c>
      <c r="D60" s="34"/>
      <c r="E60" s="34"/>
      <c r="F60" s="31" t="s">
        <v>21</v>
      </c>
      <c r="G60" s="290">
        <v>5.0000000000000001E-3</v>
      </c>
      <c r="H60" s="134" t="s">
        <v>26</v>
      </c>
      <c r="I60" s="68">
        <f t="shared" ref="I60:I61" si="19">$I$58*G60</f>
        <v>2000</v>
      </c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11"/>
      <c r="V60" s="17"/>
    </row>
    <row r="61" spans="1:22" ht="14.25">
      <c r="A61" s="16"/>
      <c r="B61" s="89"/>
      <c r="C61" s="34" t="s">
        <v>12</v>
      </c>
      <c r="D61" s="34"/>
      <c r="E61" s="34"/>
      <c r="F61" s="31" t="s">
        <v>21</v>
      </c>
      <c r="G61" s="43">
        <v>0.01</v>
      </c>
      <c r="H61" s="134" t="s">
        <v>26</v>
      </c>
      <c r="I61" s="68">
        <f t="shared" si="19"/>
        <v>4000</v>
      </c>
      <c r="J61" s="164"/>
      <c r="K61" s="164"/>
      <c r="L61" s="23"/>
      <c r="M61" s="23"/>
      <c r="N61" s="23"/>
      <c r="O61" s="23"/>
      <c r="P61" s="23"/>
      <c r="Q61" s="110"/>
      <c r="R61" s="23"/>
      <c r="S61" s="23"/>
      <c r="T61" s="23"/>
      <c r="U61" s="90"/>
      <c r="V61" s="17"/>
    </row>
    <row r="62" spans="1:22" ht="15.75" customHeight="1">
      <c r="A62" s="16"/>
      <c r="B62" s="89"/>
      <c r="C62" s="134"/>
      <c r="D62" s="134"/>
      <c r="E62" s="134"/>
      <c r="F62" s="134"/>
      <c r="G62" s="134"/>
      <c r="H62" s="134"/>
      <c r="I62" s="39"/>
      <c r="J62" s="134"/>
      <c r="K62" s="164"/>
      <c r="L62" s="134"/>
      <c r="M62" s="127"/>
      <c r="N62" s="134"/>
      <c r="O62" s="134"/>
      <c r="P62" s="134"/>
      <c r="Q62" s="134"/>
      <c r="R62" s="134"/>
      <c r="S62" s="134"/>
      <c r="T62" s="134"/>
      <c r="U62" s="90"/>
      <c r="V62" s="17"/>
    </row>
    <row r="63" spans="1:22" ht="9" customHeight="1">
      <c r="A63" s="16"/>
      <c r="B63" s="89"/>
      <c r="C63" s="164"/>
      <c r="D63" s="164"/>
      <c r="E63" s="164"/>
      <c r="F63" s="164"/>
      <c r="G63" s="164"/>
      <c r="H63" s="164"/>
      <c r="I63" s="38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90"/>
      <c r="V63" s="17"/>
    </row>
    <row r="64" spans="1:22" ht="15">
      <c r="A64" s="16"/>
      <c r="B64" s="89"/>
      <c r="C64" s="26" t="s">
        <v>47</v>
      </c>
      <c r="D64" s="164"/>
      <c r="E64" s="164"/>
      <c r="F64" s="164"/>
      <c r="G64" s="164"/>
      <c r="H64" s="164"/>
      <c r="I64" s="127">
        <f>SUM(I58:I61)</f>
        <v>415500</v>
      </c>
      <c r="J64" s="164"/>
      <c r="K64" s="33"/>
      <c r="L64" s="33"/>
      <c r="M64" s="33"/>
      <c r="N64" s="33"/>
      <c r="O64" s="33"/>
      <c r="P64" s="33"/>
      <c r="Q64" s="33"/>
      <c r="R64" s="33"/>
      <c r="S64" s="164"/>
      <c r="T64" s="33"/>
      <c r="U64" s="90"/>
      <c r="V64" s="98"/>
    </row>
    <row r="65" spans="1:22" ht="9" customHeight="1">
      <c r="A65" s="16"/>
      <c r="B65" s="89"/>
      <c r="C65" s="164"/>
      <c r="D65" s="164"/>
      <c r="E65" s="164"/>
      <c r="F65" s="164"/>
      <c r="G65" s="164"/>
      <c r="H65" s="164"/>
      <c r="I65" s="39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90"/>
      <c r="V65" s="17"/>
    </row>
    <row r="66" spans="1:22" ht="15" customHeight="1">
      <c r="A66" s="16"/>
      <c r="B66" s="63" t="s">
        <v>13</v>
      </c>
      <c r="C66" s="70"/>
      <c r="D66" s="70"/>
      <c r="E66" s="70"/>
      <c r="F66" s="70"/>
      <c r="G66" s="70"/>
      <c r="H66" s="70"/>
      <c r="I66" s="122"/>
      <c r="J66" s="155"/>
      <c r="K66" s="336" t="s">
        <v>90</v>
      </c>
      <c r="L66" s="337"/>
      <c r="M66" s="337"/>
      <c r="N66" s="337"/>
      <c r="O66" s="337"/>
      <c r="P66" s="337"/>
      <c r="Q66" s="337"/>
      <c r="R66" s="337"/>
      <c r="S66" s="337"/>
      <c r="T66" s="337"/>
      <c r="U66" s="338"/>
      <c r="V66" s="17"/>
    </row>
    <row r="67" spans="1:22" ht="16.5">
      <c r="A67" s="16"/>
      <c r="B67" s="89"/>
      <c r="C67" s="69" t="s">
        <v>14</v>
      </c>
      <c r="D67" s="70"/>
      <c r="E67" s="70"/>
      <c r="F67" s="31" t="s">
        <v>21</v>
      </c>
      <c r="G67" s="255">
        <v>975</v>
      </c>
      <c r="H67" s="70" t="s">
        <v>91</v>
      </c>
      <c r="I67" s="123">
        <f>G67*G52</f>
        <v>3466125</v>
      </c>
      <c r="J67" s="155"/>
      <c r="K67" s="339"/>
      <c r="L67" s="340"/>
      <c r="M67" s="340"/>
      <c r="N67" s="340"/>
      <c r="O67" s="340"/>
      <c r="P67" s="340"/>
      <c r="Q67" s="340"/>
      <c r="R67" s="340"/>
      <c r="S67" s="340"/>
      <c r="T67" s="340"/>
      <c r="U67" s="341"/>
      <c r="V67" s="17"/>
    </row>
    <row r="68" spans="1:22" ht="14.25">
      <c r="A68" s="16"/>
      <c r="B68" s="89"/>
      <c r="C68" s="69" t="s">
        <v>37</v>
      </c>
      <c r="D68" s="70"/>
      <c r="E68" s="70"/>
      <c r="F68" s="70"/>
      <c r="G68" s="256">
        <v>0.15</v>
      </c>
      <c r="H68" s="70" t="s">
        <v>27</v>
      </c>
      <c r="I68" s="124">
        <v>429002</v>
      </c>
      <c r="J68" s="155"/>
      <c r="K68" s="230" t="s">
        <v>77</v>
      </c>
      <c r="L68" s="228"/>
      <c r="M68" s="228"/>
      <c r="N68" s="228"/>
      <c r="O68" s="228"/>
      <c r="P68" s="228"/>
      <c r="Q68" s="228"/>
      <c r="R68" s="228"/>
      <c r="S68" s="228"/>
      <c r="T68" s="228"/>
      <c r="U68" s="229"/>
      <c r="V68" s="17"/>
    </row>
    <row r="69" spans="1:22" ht="14.25">
      <c r="A69" s="121"/>
      <c r="B69" s="89"/>
      <c r="C69" s="129" t="s">
        <v>35</v>
      </c>
      <c r="D69" s="130"/>
      <c r="E69" s="130"/>
      <c r="F69" s="130"/>
      <c r="G69" s="130"/>
      <c r="H69" s="130"/>
      <c r="I69" s="163"/>
      <c r="J69" s="70"/>
      <c r="K69" s="99"/>
      <c r="L69" s="100"/>
      <c r="M69" s="100"/>
      <c r="N69" s="100"/>
      <c r="O69" s="100"/>
      <c r="P69" s="100"/>
      <c r="Q69" s="100"/>
      <c r="R69" s="100"/>
      <c r="S69" s="100"/>
      <c r="T69" s="100"/>
      <c r="U69" s="233"/>
      <c r="V69" s="17"/>
    </row>
    <row r="70" spans="1:22" ht="14.25">
      <c r="A70" s="133"/>
      <c r="B70" s="89"/>
      <c r="C70" s="163"/>
      <c r="D70" s="257" t="s">
        <v>64</v>
      </c>
      <c r="E70" s="258"/>
      <c r="F70" s="258"/>
      <c r="G70" s="258"/>
      <c r="H70" s="259">
        <v>75000</v>
      </c>
      <c r="I70" s="131"/>
      <c r="J70" s="16"/>
      <c r="K70" s="243" t="s">
        <v>65</v>
      </c>
      <c r="L70" s="266"/>
      <c r="M70" s="266"/>
      <c r="N70" s="241"/>
      <c r="O70" s="241"/>
      <c r="P70" s="241"/>
      <c r="Q70" s="241"/>
      <c r="R70" s="241"/>
      <c r="S70" s="241"/>
      <c r="T70" s="241"/>
      <c r="U70" s="242"/>
      <c r="V70" s="17"/>
    </row>
    <row r="71" spans="1:22" ht="14.25">
      <c r="A71" s="164"/>
      <c r="B71" s="89"/>
      <c r="C71" s="163"/>
      <c r="D71" s="260" t="s">
        <v>50</v>
      </c>
      <c r="E71" s="261"/>
      <c r="F71" s="261"/>
      <c r="G71" s="261"/>
      <c r="H71" s="262">
        <v>25000</v>
      </c>
      <c r="I71" s="131"/>
      <c r="J71" s="16"/>
      <c r="K71" s="267" t="s">
        <v>66</v>
      </c>
      <c r="L71" s="268"/>
      <c r="M71" s="268"/>
      <c r="N71" s="269"/>
      <c r="O71" s="269"/>
      <c r="P71" s="269"/>
      <c r="Q71" s="269"/>
      <c r="R71" s="269"/>
      <c r="S71" s="269"/>
      <c r="T71" s="269"/>
      <c r="U71" s="272"/>
      <c r="V71" s="17"/>
    </row>
    <row r="72" spans="1:22" ht="14.25">
      <c r="A72" s="121"/>
      <c r="B72" s="89"/>
      <c r="C72" s="163"/>
      <c r="D72" s="260" t="s">
        <v>80</v>
      </c>
      <c r="E72" s="261"/>
      <c r="F72" s="261"/>
      <c r="G72" s="261"/>
      <c r="H72" s="262">
        <v>125000</v>
      </c>
      <c r="I72" s="131"/>
      <c r="J72" s="16"/>
      <c r="K72" s="243" t="s">
        <v>67</v>
      </c>
      <c r="L72" s="266"/>
      <c r="M72" s="266"/>
      <c r="N72" s="241"/>
      <c r="O72" s="241"/>
      <c r="P72" s="241"/>
      <c r="Q72" s="241"/>
      <c r="R72" s="241"/>
      <c r="S72" s="241"/>
      <c r="T72" s="241"/>
      <c r="U72" s="242"/>
      <c r="V72" s="17"/>
    </row>
    <row r="73" spans="1:22" ht="14.25">
      <c r="A73" s="121"/>
      <c r="B73" s="89"/>
      <c r="C73" s="163"/>
      <c r="D73" s="263" t="s">
        <v>41</v>
      </c>
      <c r="E73" s="264"/>
      <c r="F73" s="264"/>
      <c r="G73" s="264"/>
      <c r="H73" s="265">
        <v>50000</v>
      </c>
      <c r="I73" s="132">
        <f>SUM(H70:H73)</f>
        <v>275000</v>
      </c>
      <c r="J73" s="234"/>
      <c r="K73" s="243" t="s">
        <v>68</v>
      </c>
      <c r="L73" s="266"/>
      <c r="M73" s="266"/>
      <c r="N73" s="241"/>
      <c r="O73" s="241"/>
      <c r="P73" s="270"/>
      <c r="Q73" s="241"/>
      <c r="R73" s="271"/>
      <c r="S73" s="241"/>
      <c r="T73" s="241"/>
      <c r="U73" s="242"/>
      <c r="V73" s="17"/>
    </row>
    <row r="74" spans="1:22" ht="15">
      <c r="A74" s="16"/>
      <c r="B74" s="89"/>
      <c r="C74" s="69" t="s">
        <v>96</v>
      </c>
      <c r="D74" s="166"/>
      <c r="E74" s="140"/>
      <c r="F74" s="236" t="s">
        <v>21</v>
      </c>
      <c r="G74" s="281">
        <v>0.03</v>
      </c>
      <c r="H74" s="166" t="s">
        <v>28</v>
      </c>
      <c r="I74" s="124">
        <f>(SUM(I67:I73))*G74</f>
        <v>125103.81</v>
      </c>
      <c r="J74" s="155"/>
      <c r="K74" s="237" t="s">
        <v>36</v>
      </c>
      <c r="L74" s="238"/>
      <c r="M74" s="238"/>
      <c r="N74" s="238"/>
      <c r="O74" s="238"/>
      <c r="P74" s="238"/>
      <c r="Q74" s="239"/>
      <c r="R74" s="238"/>
      <c r="S74" s="238"/>
      <c r="T74" s="238"/>
      <c r="U74" s="240"/>
      <c r="V74" s="17"/>
    </row>
    <row r="75" spans="1:22" ht="9" customHeight="1">
      <c r="A75" s="16"/>
      <c r="B75" s="89"/>
      <c r="C75" s="134"/>
      <c r="D75" s="134"/>
      <c r="E75" s="134"/>
      <c r="F75" s="134"/>
      <c r="G75" s="134"/>
      <c r="H75" s="134"/>
      <c r="I75" s="39"/>
      <c r="J75" s="134"/>
      <c r="K75" s="166"/>
      <c r="L75" s="166"/>
      <c r="M75" s="166"/>
      <c r="N75" s="166"/>
      <c r="O75" s="166"/>
      <c r="P75" s="23"/>
      <c r="Q75" s="23"/>
      <c r="R75" s="23"/>
      <c r="S75" s="23"/>
      <c r="T75" s="23"/>
      <c r="U75" s="111"/>
      <c r="V75" s="17"/>
    </row>
    <row r="76" spans="1:22" ht="9" customHeight="1">
      <c r="A76" s="16"/>
      <c r="B76" s="89"/>
      <c r="C76" s="134"/>
      <c r="D76" s="134"/>
      <c r="E76" s="134"/>
      <c r="F76" s="134"/>
      <c r="G76" s="134"/>
      <c r="H76" s="134"/>
      <c r="I76" s="38"/>
      <c r="J76" s="134"/>
      <c r="K76" s="70"/>
      <c r="L76" s="70"/>
      <c r="M76" s="70"/>
      <c r="N76" s="70"/>
      <c r="O76" s="70"/>
      <c r="P76" s="134"/>
      <c r="Q76" s="134"/>
      <c r="R76" s="134"/>
      <c r="S76" s="134"/>
      <c r="T76" s="134"/>
      <c r="U76" s="90"/>
      <c r="V76" s="17"/>
    </row>
    <row r="77" spans="1:22" ht="15">
      <c r="A77" s="16"/>
      <c r="B77" s="89"/>
      <c r="C77" s="26" t="s">
        <v>15</v>
      </c>
      <c r="D77" s="134"/>
      <c r="E77" s="134"/>
      <c r="F77" s="134"/>
      <c r="G77" s="134"/>
      <c r="H77" s="33"/>
      <c r="I77" s="127">
        <f>SUM(I66:I75)</f>
        <v>4295230.8099999996</v>
      </c>
      <c r="J77" s="33"/>
      <c r="K77" s="66"/>
      <c r="L77" s="66"/>
      <c r="M77" s="66"/>
      <c r="N77" s="66"/>
      <c r="O77" s="66"/>
      <c r="P77" s="33"/>
      <c r="Q77" s="33"/>
      <c r="R77" s="33"/>
      <c r="S77" s="134"/>
      <c r="T77" s="33"/>
      <c r="U77" s="90"/>
      <c r="V77" s="98"/>
    </row>
    <row r="78" spans="1:22" ht="9" customHeight="1">
      <c r="A78" s="16"/>
      <c r="B78" s="89"/>
      <c r="C78" s="134"/>
      <c r="D78" s="134"/>
      <c r="E78" s="134"/>
      <c r="F78" s="134"/>
      <c r="G78" s="134"/>
      <c r="H78" s="134"/>
      <c r="I78" s="39"/>
      <c r="J78" s="134"/>
      <c r="K78" s="70"/>
      <c r="L78" s="70"/>
      <c r="M78" s="70"/>
      <c r="N78" s="70"/>
      <c r="O78" s="70"/>
      <c r="P78" s="134"/>
      <c r="Q78" s="134"/>
      <c r="R78" s="134"/>
      <c r="S78" s="134"/>
      <c r="T78" s="134"/>
      <c r="U78" s="90"/>
      <c r="V78" s="17"/>
    </row>
    <row r="79" spans="1:22" ht="15">
      <c r="A79" s="16"/>
      <c r="B79" s="63" t="s">
        <v>16</v>
      </c>
      <c r="C79" s="134"/>
      <c r="D79" s="134"/>
      <c r="E79" s="134"/>
      <c r="F79" s="134"/>
      <c r="G79" s="134"/>
      <c r="H79" s="134"/>
      <c r="I79" s="41"/>
      <c r="J79" s="134"/>
      <c r="K79" s="70"/>
      <c r="L79" s="70"/>
      <c r="M79" s="70"/>
      <c r="N79" s="70"/>
      <c r="O79" s="70"/>
      <c r="P79" s="134"/>
      <c r="Q79" s="134"/>
      <c r="R79" s="134"/>
      <c r="S79" s="134"/>
      <c r="T79" s="134"/>
      <c r="U79" s="90"/>
      <c r="V79" s="17"/>
    </row>
    <row r="80" spans="1:22" ht="14.25">
      <c r="A80" s="16"/>
      <c r="B80" s="89"/>
      <c r="C80" s="69" t="s">
        <v>17</v>
      </c>
      <c r="D80" s="70"/>
      <c r="E80" s="70"/>
      <c r="F80" s="70"/>
      <c r="G80" s="70"/>
      <c r="H80" s="70"/>
      <c r="I80" s="44"/>
      <c r="J80" s="134"/>
      <c r="K80" s="70"/>
      <c r="L80" s="70"/>
      <c r="M80" s="70"/>
      <c r="N80" s="70"/>
      <c r="O80" s="70"/>
      <c r="P80" s="164"/>
      <c r="Q80" s="164"/>
      <c r="R80" s="164"/>
      <c r="S80" s="164"/>
      <c r="T80" s="164"/>
      <c r="U80" s="90"/>
      <c r="V80" s="17"/>
    </row>
    <row r="81" spans="1:22" ht="14.25">
      <c r="A81" s="16"/>
      <c r="B81" s="89"/>
      <c r="C81" s="69"/>
      <c r="D81" s="69" t="s">
        <v>82</v>
      </c>
      <c r="E81" s="70"/>
      <c r="F81" s="70"/>
      <c r="G81" s="70"/>
      <c r="H81" s="70"/>
      <c r="I81" s="287">
        <f>E81*G81</f>
        <v>0</v>
      </c>
      <c r="J81" s="16"/>
      <c r="K81" s="275"/>
      <c r="L81" s="275"/>
      <c r="M81" s="275"/>
      <c r="N81" s="275"/>
      <c r="O81" s="275"/>
      <c r="P81" s="273"/>
      <c r="Q81" s="273"/>
      <c r="R81" s="273"/>
      <c r="S81" s="273"/>
      <c r="T81" s="273"/>
      <c r="U81" s="274"/>
      <c r="V81" s="17"/>
    </row>
    <row r="82" spans="1:22" ht="14.25">
      <c r="A82" s="16"/>
      <c r="B82" s="89"/>
      <c r="C82" s="69" t="s">
        <v>22</v>
      </c>
      <c r="D82" s="70"/>
      <c r="E82" s="70"/>
      <c r="F82" s="182" t="s">
        <v>21</v>
      </c>
      <c r="G82" s="256">
        <v>0.06</v>
      </c>
      <c r="H82" s="70"/>
      <c r="I82" s="124">
        <f>I77*G82</f>
        <v>257713.84859999997</v>
      </c>
      <c r="J82" s="155"/>
      <c r="K82" s="279" t="s">
        <v>36</v>
      </c>
      <c r="L82" s="277"/>
      <c r="M82" s="277"/>
      <c r="N82" s="276"/>
      <c r="O82" s="277"/>
      <c r="P82" s="277"/>
      <c r="Q82" s="276"/>
      <c r="R82" s="277"/>
      <c r="S82" s="277"/>
      <c r="T82" s="278"/>
      <c r="U82" s="231"/>
      <c r="V82" s="17"/>
    </row>
    <row r="83" spans="1:22" ht="14.25">
      <c r="A83" s="16"/>
      <c r="B83" s="89"/>
      <c r="C83" s="69" t="s">
        <v>18</v>
      </c>
      <c r="D83" s="70"/>
      <c r="E83" s="70"/>
      <c r="F83" s="182" t="s">
        <v>21</v>
      </c>
      <c r="G83" s="256">
        <v>0.06</v>
      </c>
      <c r="H83" s="69" t="s">
        <v>29</v>
      </c>
      <c r="I83" s="124">
        <f>'APPENDIX 2 - cash flow'!D24</f>
        <v>137885.1776603981</v>
      </c>
      <c r="J83" s="155"/>
      <c r="K83" s="230" t="s">
        <v>78</v>
      </c>
      <c r="L83" s="228"/>
      <c r="M83" s="228"/>
      <c r="N83" s="228"/>
      <c r="O83" s="228"/>
      <c r="P83" s="228"/>
      <c r="Q83" s="228"/>
      <c r="R83" s="228"/>
      <c r="S83" s="228"/>
      <c r="T83" s="228"/>
      <c r="U83" s="229"/>
      <c r="V83" s="17"/>
    </row>
    <row r="84" spans="1:22" ht="14.25">
      <c r="A84" s="16"/>
      <c r="B84" s="89"/>
      <c r="C84" s="69" t="s">
        <v>92</v>
      </c>
      <c r="D84" s="70"/>
      <c r="E84" s="70"/>
      <c r="F84" s="182" t="s">
        <v>21</v>
      </c>
      <c r="G84" s="291">
        <v>2.5000000000000001E-2</v>
      </c>
      <c r="H84" s="69" t="s">
        <v>30</v>
      </c>
      <c r="I84" s="124">
        <f>(I52-(SUM(I11:I13))-(SUM(I19:I22))-(SUM(I42:I44)))*G84</f>
        <v>141750</v>
      </c>
      <c r="J84" s="155"/>
      <c r="K84" s="235" t="s">
        <v>79</v>
      </c>
      <c r="L84" s="232"/>
      <c r="M84" s="232"/>
      <c r="N84" s="232"/>
      <c r="O84" s="232"/>
      <c r="P84" s="228"/>
      <c r="Q84" s="228"/>
      <c r="R84" s="228"/>
      <c r="S84" s="228"/>
      <c r="T84" s="228"/>
      <c r="U84" s="229"/>
      <c r="V84" s="17"/>
    </row>
    <row r="85" spans="1:22" ht="14.25">
      <c r="A85" s="16"/>
      <c r="B85" s="89"/>
      <c r="C85" s="69" t="s">
        <v>93</v>
      </c>
      <c r="D85" s="70"/>
      <c r="E85" s="70"/>
      <c r="F85" s="182" t="s">
        <v>21</v>
      </c>
      <c r="G85" s="256">
        <v>0.01</v>
      </c>
      <c r="H85" s="69" t="s">
        <v>30</v>
      </c>
      <c r="I85" s="124">
        <f>(I11+I13+(SUM(I42:I44)))*G85</f>
        <v>5740</v>
      </c>
      <c r="J85" s="155"/>
      <c r="K85" s="235" t="s">
        <v>79</v>
      </c>
      <c r="L85" s="232"/>
      <c r="M85" s="232"/>
      <c r="N85" s="232"/>
      <c r="O85" s="232"/>
      <c r="P85" s="228"/>
      <c r="Q85" s="228"/>
      <c r="R85" s="228"/>
      <c r="S85" s="228"/>
      <c r="T85" s="228"/>
      <c r="U85" s="229"/>
      <c r="V85" s="17"/>
    </row>
    <row r="86" spans="1:22" ht="14.25">
      <c r="A86" s="16"/>
      <c r="B86" s="89"/>
      <c r="C86" s="69" t="s">
        <v>94</v>
      </c>
      <c r="D86" s="70"/>
      <c r="E86" s="70"/>
      <c r="F86" s="182" t="s">
        <v>21</v>
      </c>
      <c r="G86" s="291">
        <v>5.0000000000000001E-3</v>
      </c>
      <c r="H86" s="69" t="s">
        <v>30</v>
      </c>
      <c r="I86" s="124">
        <f>(I12+(SUM(I19:I22)))*G86</f>
        <v>1550</v>
      </c>
      <c r="J86" s="155"/>
      <c r="K86" s="235" t="s">
        <v>95</v>
      </c>
      <c r="L86" s="232"/>
      <c r="M86" s="232"/>
      <c r="N86" s="232"/>
      <c r="O86" s="232"/>
      <c r="P86" s="228"/>
      <c r="Q86" s="228"/>
      <c r="R86" s="228"/>
      <c r="S86" s="228"/>
      <c r="T86" s="228"/>
      <c r="U86" s="229"/>
      <c r="V86" s="17"/>
    </row>
    <row r="87" spans="1:22" ht="9" customHeight="1">
      <c r="A87" s="16"/>
      <c r="B87" s="89"/>
      <c r="C87" s="134"/>
      <c r="D87" s="134"/>
      <c r="E87" s="134"/>
      <c r="F87" s="134"/>
      <c r="G87" s="134"/>
      <c r="H87" s="134"/>
      <c r="I87" s="39"/>
      <c r="J87" s="134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111"/>
      <c r="V87" s="17"/>
    </row>
    <row r="88" spans="1:22" ht="9" customHeight="1">
      <c r="A88" s="16"/>
      <c r="B88" s="89"/>
      <c r="C88" s="134"/>
      <c r="D88" s="134"/>
      <c r="E88" s="134"/>
      <c r="F88" s="134"/>
      <c r="G88" s="134"/>
      <c r="H88" s="134"/>
      <c r="I88" s="38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90"/>
      <c r="V88" s="17"/>
    </row>
    <row r="89" spans="1:22" ht="15">
      <c r="A89" s="16"/>
      <c r="B89" s="89"/>
      <c r="C89" s="26" t="s">
        <v>20</v>
      </c>
      <c r="D89" s="134"/>
      <c r="E89" s="134"/>
      <c r="F89" s="134"/>
      <c r="G89" s="134"/>
      <c r="H89" s="134"/>
      <c r="I89" s="127">
        <f>SUM(I80:I86)</f>
        <v>544639.0262603981</v>
      </c>
      <c r="J89" s="134"/>
      <c r="K89" s="134"/>
      <c r="L89" s="134"/>
      <c r="M89" s="134"/>
      <c r="N89" s="134"/>
      <c r="O89" s="134"/>
      <c r="P89" s="134"/>
      <c r="Q89" s="64"/>
      <c r="R89" s="134"/>
      <c r="S89" s="134"/>
      <c r="T89" s="134"/>
      <c r="U89" s="90"/>
      <c r="V89" s="17"/>
    </row>
    <row r="90" spans="1:22" ht="9" customHeight="1">
      <c r="A90" s="16"/>
      <c r="B90" s="89"/>
      <c r="C90" s="134"/>
      <c r="D90" s="134"/>
      <c r="E90" s="134"/>
      <c r="F90" s="27"/>
      <c r="G90" s="27"/>
      <c r="H90" s="27"/>
      <c r="I90" s="39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90"/>
      <c r="V90" s="17"/>
    </row>
    <row r="91" spans="1:22" ht="9" customHeight="1">
      <c r="A91" s="16"/>
      <c r="B91" s="89"/>
      <c r="C91" s="134"/>
      <c r="D91" s="134"/>
      <c r="E91" s="16"/>
      <c r="F91" s="16"/>
      <c r="G91" s="16"/>
      <c r="H91" s="16"/>
      <c r="I91" s="17"/>
      <c r="J91" s="85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90"/>
      <c r="V91" s="17"/>
    </row>
    <row r="92" spans="1:22" ht="21.6" customHeight="1">
      <c r="A92" s="16"/>
      <c r="B92" s="91"/>
      <c r="C92" s="66"/>
      <c r="D92" s="66"/>
      <c r="E92" s="66"/>
      <c r="F92" s="66"/>
      <c r="G92" s="66"/>
      <c r="H92" s="66"/>
      <c r="I92" s="67"/>
      <c r="J92" s="126">
        <f>I64+I77+I89</f>
        <v>5255369.8362603979</v>
      </c>
      <c r="K92" s="26"/>
      <c r="L92" s="134"/>
      <c r="M92" s="134"/>
      <c r="N92" s="134"/>
      <c r="O92" s="134"/>
      <c r="P92" s="134"/>
      <c r="Q92" s="134"/>
      <c r="R92" s="134"/>
      <c r="S92" s="134"/>
      <c r="T92" s="134"/>
      <c r="U92" s="90"/>
      <c r="V92" s="17"/>
    </row>
    <row r="93" spans="1:22" ht="8.25" customHeight="1" thickBot="1">
      <c r="A93" s="16"/>
      <c r="B93" s="92"/>
      <c r="C93" s="93"/>
      <c r="D93" s="93"/>
      <c r="E93" s="93"/>
      <c r="F93" s="94"/>
      <c r="G93" s="94"/>
      <c r="H93" s="94"/>
      <c r="I93" s="95"/>
      <c r="J93" s="107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97"/>
      <c r="V93" s="17"/>
    </row>
    <row r="94" spans="1:22" ht="16.5" customHeight="1">
      <c r="A94" s="2"/>
      <c r="B94" s="24"/>
      <c r="C94" s="23"/>
      <c r="D94" s="23"/>
      <c r="E94" s="23"/>
      <c r="F94" s="23"/>
      <c r="G94" s="23"/>
      <c r="H94" s="23"/>
      <c r="I94" s="101"/>
      <c r="J94" s="101"/>
      <c r="K94" s="101"/>
      <c r="L94" s="101"/>
      <c r="M94" s="101"/>
      <c r="N94" s="101"/>
      <c r="O94" s="23"/>
      <c r="P94" s="23"/>
      <c r="Q94" s="23"/>
      <c r="R94" s="23"/>
      <c r="S94" s="23"/>
      <c r="T94" s="23"/>
      <c r="U94" s="23"/>
      <c r="V94" s="2"/>
    </row>
    <row r="95" spans="1:22" ht="9" customHeight="1">
      <c r="A95" s="2"/>
      <c r="B95" s="54"/>
      <c r="C95" s="55"/>
      <c r="D95" s="55"/>
      <c r="E95" s="55"/>
      <c r="F95" s="55"/>
      <c r="G95" s="55"/>
      <c r="H95" s="56"/>
      <c r="I95" s="57"/>
      <c r="J95" s="58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">
      <c r="A96" s="2"/>
      <c r="B96" s="59" t="s">
        <v>6</v>
      </c>
      <c r="C96" s="55"/>
      <c r="D96" s="55"/>
      <c r="E96" s="55"/>
      <c r="F96" s="55"/>
      <c r="G96" s="55"/>
      <c r="H96" s="60"/>
      <c r="I96" s="61"/>
      <c r="J96" s="125">
        <f>I52</f>
        <v>6554000</v>
      </c>
      <c r="K96" s="2"/>
      <c r="L96" s="33"/>
      <c r="M96" s="2"/>
      <c r="N96" s="2"/>
      <c r="O96" s="2"/>
      <c r="P96" s="2"/>
      <c r="Q96" s="2"/>
      <c r="R96" s="2"/>
      <c r="S96" s="2"/>
      <c r="T96" s="33"/>
      <c r="U96" s="2"/>
      <c r="V96" s="33"/>
    </row>
    <row r="97" spans="1:22" ht="9" customHeight="1">
      <c r="A97" s="2"/>
      <c r="B97" s="54"/>
      <c r="C97" s="55"/>
      <c r="D97" s="55"/>
      <c r="E97" s="55"/>
      <c r="F97" s="55"/>
      <c r="G97" s="55"/>
      <c r="H97" s="56"/>
      <c r="I97" s="57"/>
      <c r="J97" s="58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">
      <c r="A98" s="2"/>
      <c r="B98" s="32"/>
      <c r="C98" s="33"/>
      <c r="D98" s="33"/>
      <c r="E98" s="33"/>
      <c r="F98" s="2"/>
      <c r="G98" s="2"/>
      <c r="H98" s="33"/>
      <c r="I98" s="40"/>
      <c r="J98" s="33"/>
      <c r="K98" s="2"/>
      <c r="L98" s="33"/>
      <c r="M98" s="2"/>
      <c r="N98" s="33"/>
      <c r="P98" s="33"/>
      <c r="Q98" s="2"/>
      <c r="R98" s="33"/>
      <c r="S98" s="2"/>
      <c r="T98" s="33"/>
      <c r="U98" s="2"/>
      <c r="V98" s="33"/>
    </row>
    <row r="99" spans="1:22" ht="15">
      <c r="A99" s="2"/>
      <c r="B99" s="32"/>
      <c r="C99" s="108" t="s">
        <v>23</v>
      </c>
      <c r="D99" s="33"/>
      <c r="E99" s="33"/>
      <c r="F99" s="2"/>
      <c r="G99" s="2"/>
      <c r="H99" s="33"/>
      <c r="I99" s="40"/>
      <c r="J99" s="33"/>
      <c r="K99" s="2"/>
      <c r="L99" s="33"/>
      <c r="M99" s="2"/>
      <c r="N99" s="33"/>
      <c r="O99" s="2"/>
      <c r="P99" s="33"/>
      <c r="Q99" s="2"/>
      <c r="R99" s="33"/>
      <c r="S99" s="2"/>
      <c r="T99" s="33"/>
      <c r="U99" s="2"/>
      <c r="V99" s="33"/>
    </row>
    <row r="100" spans="1:22" ht="15">
      <c r="A100" s="2"/>
      <c r="B100" s="32"/>
      <c r="C100" s="33"/>
      <c r="D100" s="33"/>
      <c r="E100" s="33"/>
      <c r="F100" s="2"/>
      <c r="G100" s="2"/>
      <c r="H100" s="33"/>
      <c r="I100" s="40"/>
      <c r="J100" s="33"/>
      <c r="K100" s="2"/>
      <c r="L100" s="33"/>
      <c r="M100" s="2"/>
      <c r="N100" s="33"/>
      <c r="O100" s="2"/>
      <c r="P100" s="33"/>
      <c r="R100" s="33"/>
      <c r="S100" s="26"/>
      <c r="T100" s="33"/>
      <c r="U100" s="2"/>
      <c r="V100" s="33"/>
    </row>
    <row r="101" spans="1:22" ht="9" customHeight="1">
      <c r="A101" s="2"/>
      <c r="B101" s="45"/>
      <c r="C101" s="46"/>
      <c r="D101" s="46"/>
      <c r="E101" s="46"/>
      <c r="F101" s="46"/>
      <c r="G101" s="46"/>
      <c r="H101" s="47"/>
      <c r="I101" s="48"/>
      <c r="J101" s="49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">
      <c r="A102" s="2"/>
      <c r="B102" s="50" t="s">
        <v>7</v>
      </c>
      <c r="C102" s="51"/>
      <c r="D102" s="51"/>
      <c r="E102" s="51"/>
      <c r="F102" s="46"/>
      <c r="G102" s="46"/>
      <c r="H102" s="51"/>
      <c r="I102" s="52"/>
      <c r="J102" s="53">
        <f>J92</f>
        <v>5255369.8362603979</v>
      </c>
      <c r="K102" s="2"/>
      <c r="L102" s="33"/>
      <c r="M102" s="133"/>
      <c r="N102" s="33"/>
      <c r="O102" s="133"/>
      <c r="P102" s="33"/>
      <c r="R102" s="33"/>
      <c r="S102" s="26"/>
      <c r="T102" s="33"/>
      <c r="U102" s="2"/>
      <c r="V102" s="33"/>
    </row>
    <row r="103" spans="1:22" ht="9" customHeight="1">
      <c r="A103" s="2"/>
      <c r="B103" s="45"/>
      <c r="C103" s="46"/>
      <c r="D103" s="46"/>
      <c r="E103" s="46"/>
      <c r="F103" s="46"/>
      <c r="G103" s="46"/>
      <c r="H103" s="47"/>
      <c r="I103" s="48"/>
      <c r="J103" s="4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">
      <c r="A104" s="2"/>
      <c r="B104" s="32"/>
      <c r="C104" s="33"/>
      <c r="D104" s="33"/>
      <c r="E104" s="33"/>
      <c r="F104" s="2"/>
      <c r="G104" s="2"/>
      <c r="H104" s="33"/>
      <c r="I104" s="40"/>
      <c r="J104" s="33"/>
      <c r="K104" s="2"/>
      <c r="L104" s="33"/>
      <c r="M104" s="133"/>
      <c r="N104" s="33"/>
      <c r="O104" s="133"/>
      <c r="P104" s="33"/>
      <c r="R104" s="33"/>
      <c r="S104" s="26"/>
      <c r="T104" s="33"/>
      <c r="U104" s="2"/>
      <c r="V104" s="33"/>
    </row>
    <row r="105" spans="1:22" ht="15">
      <c r="A105" s="164"/>
      <c r="B105" s="32"/>
      <c r="C105" s="172" t="s">
        <v>48</v>
      </c>
      <c r="D105" s="33"/>
      <c r="E105" s="33"/>
      <c r="F105" s="164"/>
      <c r="G105" s="164"/>
      <c r="H105" s="33"/>
      <c r="I105" s="40"/>
      <c r="J105" s="173"/>
      <c r="K105" s="164"/>
      <c r="L105" s="33"/>
      <c r="M105" s="164"/>
      <c r="N105" s="33"/>
      <c r="O105" s="164"/>
      <c r="P105" s="33"/>
      <c r="Q105" s="164"/>
      <c r="R105" s="33"/>
      <c r="S105" s="26"/>
      <c r="T105" s="33"/>
      <c r="U105" s="17"/>
      <c r="V105" s="33"/>
    </row>
    <row r="106" spans="1:22" ht="15">
      <c r="A106" s="164"/>
      <c r="B106" s="32"/>
      <c r="C106" s="33"/>
      <c r="D106" s="33"/>
      <c r="E106" s="33"/>
      <c r="F106" s="164"/>
      <c r="G106" s="164"/>
      <c r="H106" s="33"/>
      <c r="I106" s="40"/>
      <c r="J106" s="33"/>
      <c r="K106" s="164"/>
      <c r="L106" s="33"/>
      <c r="M106" s="164"/>
      <c r="N106" s="33"/>
      <c r="O106" s="164"/>
      <c r="P106" s="33"/>
      <c r="Q106" s="164"/>
      <c r="R106" s="33"/>
      <c r="S106" s="26"/>
      <c r="T106" s="33"/>
      <c r="U106" s="164"/>
      <c r="V106" s="33"/>
    </row>
    <row r="107" spans="1:22" ht="9" customHeight="1">
      <c r="A107" s="164"/>
      <c r="B107" s="71"/>
      <c r="C107" s="72"/>
      <c r="D107" s="72"/>
      <c r="E107" s="72"/>
      <c r="F107" s="72"/>
      <c r="G107" s="72"/>
      <c r="H107" s="73"/>
      <c r="I107" s="74"/>
      <c r="J107" s="83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</row>
    <row r="108" spans="1:22" ht="15">
      <c r="A108" s="16"/>
      <c r="B108" s="78" t="s">
        <v>19</v>
      </c>
      <c r="C108" s="79"/>
      <c r="D108" s="79"/>
      <c r="E108" s="79"/>
      <c r="F108" s="174" t="s">
        <v>49</v>
      </c>
      <c r="G108" s="175">
        <f>J108/J96</f>
        <v>0.19814314368928931</v>
      </c>
      <c r="H108" s="80" t="s">
        <v>30</v>
      </c>
      <c r="I108" s="81"/>
      <c r="J108" s="128">
        <f>J96-J102</f>
        <v>1298630.1637396021</v>
      </c>
      <c r="K108" s="176" t="s">
        <v>81</v>
      </c>
      <c r="L108" s="177"/>
      <c r="M108" s="178"/>
      <c r="N108" s="177"/>
      <c r="O108" s="292"/>
      <c r="P108" s="177"/>
      <c r="Q108" s="178"/>
      <c r="R108" s="178"/>
      <c r="S108" s="177"/>
      <c r="T108" s="179"/>
      <c r="U108" s="164"/>
      <c r="V108" s="33"/>
    </row>
    <row r="109" spans="1:22" ht="9" customHeight="1">
      <c r="A109" s="164"/>
      <c r="B109" s="75"/>
      <c r="C109" s="76"/>
      <c r="D109" s="76"/>
      <c r="E109" s="76"/>
      <c r="F109" s="76"/>
      <c r="G109" s="76"/>
      <c r="H109" s="77"/>
      <c r="I109" s="74"/>
      <c r="J109" s="8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</row>
  </sheetData>
  <mergeCells count="2">
    <mergeCell ref="H1:K1"/>
    <mergeCell ref="K66:U67"/>
  </mergeCells>
  <phoneticPr fontId="9" type="noConversion"/>
  <pageMargins left="0.39370078740157483" right="0.39370078740157483" top="0.39370078740157483" bottom="0.39370078740157483" header="0.39370078740157483" footer="0.39370078740157483"/>
  <pageSetup paperSize="9" scale="39" orientation="portrait" useFirstPageNumber="1" r:id="rId1"/>
  <headerFooter alignWithMargins="0"/>
  <ignoredErrors>
    <ignoredError sqref="I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="83" zoomScaleNormal="100" zoomScaleSheetLayoutView="83" workbookViewId="0">
      <selection activeCell="Q17" sqref="Q17"/>
    </sheetView>
  </sheetViews>
  <sheetFormatPr defaultColWidth="10.25" defaultRowHeight="14.25"/>
  <cols>
    <col min="1" max="1" width="3" style="1" customWidth="1"/>
    <col min="2" max="2" width="13.5" style="1" customWidth="1"/>
    <col min="3" max="3" width="30.625" style="1" customWidth="1"/>
    <col min="4" max="4" width="14.875" style="1" customWidth="1"/>
    <col min="5" max="8" width="14.25" style="1" customWidth="1"/>
    <col min="9" max="9" width="14.25" style="42" customWidth="1"/>
    <col min="10" max="12" width="14.25" style="1" customWidth="1"/>
    <col min="13" max="13" width="14.125" style="1" customWidth="1"/>
    <col min="14" max="14" width="13.25" style="1" customWidth="1"/>
    <col min="15" max="16384" width="10.25" style="1"/>
  </cols>
  <sheetData>
    <row r="1" spans="1:15" ht="18">
      <c r="A1" s="164"/>
      <c r="B1" s="3" t="s">
        <v>0</v>
      </c>
      <c r="C1" s="4"/>
      <c r="D1" s="342" t="str">
        <f>'APPENDIX 1 - viability app'!D4</f>
        <v>[Site Location]</v>
      </c>
      <c r="E1" s="343"/>
      <c r="F1" s="343"/>
      <c r="G1" s="343"/>
      <c r="H1" s="343"/>
      <c r="I1" s="343"/>
      <c r="J1" s="343"/>
      <c r="K1" s="343"/>
      <c r="L1" s="344"/>
      <c r="M1" s="164"/>
    </row>
    <row r="2" spans="1:15" ht="14.25" customHeight="1">
      <c r="A2" s="16"/>
      <c r="B2" s="183"/>
      <c r="C2" s="100"/>
      <c r="D2" s="100"/>
      <c r="E2" s="100"/>
      <c r="F2" s="100"/>
      <c r="G2" s="99"/>
      <c r="H2" s="100"/>
      <c r="I2" s="184"/>
      <c r="J2" s="100"/>
      <c r="K2" s="100"/>
      <c r="L2" s="100"/>
      <c r="M2" s="100"/>
      <c r="N2" s="100"/>
    </row>
    <row r="3" spans="1:15" ht="15">
      <c r="A3" s="16"/>
      <c r="B3" s="185" t="s">
        <v>51</v>
      </c>
      <c r="C3" s="186"/>
      <c r="D3" s="293" t="s">
        <v>97</v>
      </c>
      <c r="E3" s="294" t="s">
        <v>98</v>
      </c>
      <c r="F3" s="294" t="s">
        <v>99</v>
      </c>
      <c r="G3" s="294" t="s">
        <v>100</v>
      </c>
      <c r="H3" s="294" t="s">
        <v>101</v>
      </c>
      <c r="I3" s="294" t="s">
        <v>102</v>
      </c>
      <c r="J3" s="294" t="s">
        <v>103</v>
      </c>
      <c r="K3" s="294" t="s">
        <v>104</v>
      </c>
      <c r="L3" s="294" t="s">
        <v>105</v>
      </c>
      <c r="M3" s="294" t="s">
        <v>106</v>
      </c>
      <c r="N3" s="100" t="s">
        <v>52</v>
      </c>
    </row>
    <row r="4" spans="1:15" s="301" customFormat="1" ht="15">
      <c r="A4" s="155"/>
      <c r="B4" s="295"/>
      <c r="C4" s="296"/>
      <c r="D4" s="297"/>
      <c r="E4" s="298"/>
      <c r="F4" s="299"/>
      <c r="G4" s="345" t="s">
        <v>107</v>
      </c>
      <c r="H4" s="346"/>
      <c r="I4" s="346"/>
      <c r="J4" s="346"/>
      <c r="K4" s="346"/>
      <c r="L4" s="347"/>
      <c r="M4" s="210"/>
      <c r="N4" s="300"/>
    </row>
    <row r="5" spans="1:15" ht="15">
      <c r="A5" s="16"/>
      <c r="B5" s="183"/>
      <c r="C5" s="302"/>
      <c r="D5" s="303" t="s">
        <v>108</v>
      </c>
      <c r="E5" s="348" t="s">
        <v>109</v>
      </c>
      <c r="F5" s="349"/>
      <c r="G5" s="349"/>
      <c r="H5" s="349"/>
      <c r="I5" s="349"/>
      <c r="J5" s="350"/>
      <c r="K5" s="210"/>
      <c r="L5" s="210"/>
      <c r="M5" s="100"/>
      <c r="N5" s="100"/>
    </row>
    <row r="6" spans="1:15" s="301" customFormat="1" ht="15.75" thickBot="1">
      <c r="A6" s="155"/>
      <c r="B6" s="196"/>
      <c r="C6" s="304"/>
      <c r="D6" s="305"/>
      <c r="E6" s="305"/>
      <c r="F6" s="305"/>
      <c r="G6" s="305"/>
      <c r="H6" s="305"/>
      <c r="I6" s="305"/>
      <c r="J6" s="305"/>
      <c r="K6" s="305"/>
      <c r="L6" s="304"/>
      <c r="M6" s="304"/>
      <c r="N6" s="306"/>
    </row>
    <row r="7" spans="1:15" ht="15.75" thickBot="1">
      <c r="A7" s="16"/>
      <c r="B7" s="187" t="s">
        <v>53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9"/>
    </row>
    <row r="8" spans="1:15" ht="15">
      <c r="A8" s="16"/>
      <c r="B8" s="190" t="s">
        <v>54</v>
      </c>
      <c r="C8" s="191"/>
      <c r="D8" s="192"/>
      <c r="E8" s="192"/>
      <c r="F8" s="192"/>
      <c r="G8" s="141"/>
      <c r="H8" s="192"/>
      <c r="I8" s="193"/>
      <c r="J8" s="192"/>
      <c r="K8" s="192"/>
      <c r="L8" s="192"/>
      <c r="M8" s="194"/>
      <c r="N8" s="192"/>
      <c r="O8" s="192"/>
    </row>
    <row r="9" spans="1:15">
      <c r="A9" s="16"/>
      <c r="B9" s="307" t="s">
        <v>110</v>
      </c>
      <c r="C9" s="308"/>
      <c r="D9" s="208"/>
      <c r="E9" s="208"/>
      <c r="F9" s="309"/>
      <c r="G9" s="322">
        <f>7.5</f>
        <v>7.5</v>
      </c>
      <c r="H9" s="322">
        <f>7.5</f>
        <v>7.5</v>
      </c>
      <c r="I9" s="322">
        <f>7.5</f>
        <v>7.5</v>
      </c>
      <c r="J9" s="322">
        <f>7.5</f>
        <v>7.5</v>
      </c>
      <c r="K9" s="322">
        <f>7.5</f>
        <v>7.5</v>
      </c>
      <c r="L9" s="322">
        <v>2.5</v>
      </c>
      <c r="M9" s="310"/>
      <c r="N9" s="311">
        <f>SUM(D9:M9)</f>
        <v>40</v>
      </c>
    </row>
    <row r="10" spans="1:15" ht="15" thickBot="1">
      <c r="A10" s="16"/>
      <c r="B10" s="195" t="s">
        <v>111</v>
      </c>
      <c r="C10" s="196"/>
      <c r="D10" s="312"/>
      <c r="E10" s="313"/>
      <c r="F10" s="313"/>
      <c r="G10" s="313">
        <f>('APPENDIX 1 - viability app'!I52/'APPENDIX 1 - viability app'!E5)*G9</f>
        <v>1228875</v>
      </c>
      <c r="H10" s="313">
        <f>('APPENDIX 1 - viability app'!I52/'APPENDIX 1 - viability app'!E5)*H9</f>
        <v>1228875</v>
      </c>
      <c r="I10" s="313">
        <f>('APPENDIX 1 - viability app'!I52/'APPENDIX 1 - viability app'!E5)*I9</f>
        <v>1228875</v>
      </c>
      <c r="J10" s="313">
        <f>('APPENDIX 1 - viability app'!I52/'APPENDIX 1 - viability app'!E5)*J9</f>
        <v>1228875</v>
      </c>
      <c r="K10" s="313">
        <f>('APPENDIX 1 - viability app'!I52/'APPENDIX 1 - viability app'!E5)*K9</f>
        <v>1228875</v>
      </c>
      <c r="L10" s="313">
        <f>('APPENDIX 1 - viability app'!I52/'APPENDIX 1 - viability app'!E5)*L9</f>
        <v>409625</v>
      </c>
      <c r="M10" s="314"/>
      <c r="N10" s="280">
        <f>SUM(D10:M10)</f>
        <v>6554000</v>
      </c>
    </row>
    <row r="11" spans="1:15" ht="15.75" thickBot="1">
      <c r="A11" s="16"/>
      <c r="B11" s="183"/>
      <c r="C11" s="100"/>
      <c r="D11" s="100"/>
      <c r="E11" s="100"/>
      <c r="F11" s="100"/>
      <c r="G11" s="100"/>
      <c r="H11" s="100"/>
      <c r="I11" s="192"/>
      <c r="J11" s="192"/>
      <c r="K11" s="192"/>
      <c r="L11" s="192"/>
      <c r="M11" s="100"/>
      <c r="N11" s="199">
        <f>SUM(N10:N10)</f>
        <v>6554000</v>
      </c>
    </row>
    <row r="12" spans="1:15" ht="15.75" thickBot="1">
      <c r="A12" s="16"/>
      <c r="B12" s="200" t="s">
        <v>55</v>
      </c>
      <c r="C12" s="201"/>
      <c r="D12" s="201"/>
      <c r="E12" s="201"/>
      <c r="F12" s="201"/>
      <c r="G12" s="202"/>
      <c r="H12" s="201"/>
      <c r="I12" s="203"/>
      <c r="J12" s="201"/>
      <c r="K12" s="201"/>
      <c r="L12" s="201"/>
      <c r="M12" s="204"/>
    </row>
    <row r="13" spans="1:15" ht="15">
      <c r="A13" s="16"/>
      <c r="B13" s="225" t="s">
        <v>63</v>
      </c>
      <c r="C13" s="206"/>
      <c r="D13" s="198">
        <f>'APPENDIX 1 - viability app'!I64</f>
        <v>415500</v>
      </c>
      <c r="E13" s="208"/>
      <c r="F13" s="198"/>
      <c r="G13" s="198"/>
      <c r="H13" s="198"/>
      <c r="I13" s="198"/>
      <c r="J13" s="198"/>
      <c r="K13" s="315"/>
      <c r="L13" s="315"/>
      <c r="M13" s="209"/>
      <c r="N13" s="280">
        <f>SUM(D13:M13)</f>
        <v>415500</v>
      </c>
    </row>
    <row r="14" spans="1:15" ht="15">
      <c r="A14" s="16"/>
      <c r="B14" s="225" t="s">
        <v>15</v>
      </c>
      <c r="C14" s="206"/>
      <c r="D14" s="198"/>
      <c r="E14" s="198">
        <f>(('APPENDIX 1 - viability app'!I77)/'APPENDIX 1 - viability app'!E5)*G9</f>
        <v>805355.77687499986</v>
      </c>
      <c r="F14" s="198">
        <f>(('APPENDIX 1 - viability app'!I77)/'APPENDIX 1 - viability app'!E5)*H9</f>
        <v>805355.77687499986</v>
      </c>
      <c r="G14" s="198">
        <f>(('APPENDIX 1 - viability app'!I77)/'APPENDIX 1 - viability app'!E5)*I9</f>
        <v>805355.77687499986</v>
      </c>
      <c r="H14" s="198">
        <f>(('APPENDIX 1 - viability app'!I77)/'APPENDIX 1 - viability app'!E5)*J9</f>
        <v>805355.77687499986</v>
      </c>
      <c r="I14" s="198">
        <f>(('APPENDIX 1 - viability app'!I77)/'APPENDIX 1 - viability app'!E5)*K9</f>
        <v>805355.77687499986</v>
      </c>
      <c r="J14" s="198">
        <f>(('APPENDIX 1 - viability app'!I77)/'APPENDIX 1 - viability app'!E5)*L9</f>
        <v>268451.92562499997</v>
      </c>
      <c r="K14" s="198"/>
      <c r="L14" s="315"/>
      <c r="M14" s="323"/>
      <c r="N14" s="280">
        <f>SUM(D14:M14)</f>
        <v>4295230.8099999996</v>
      </c>
    </row>
    <row r="15" spans="1:15" ht="15">
      <c r="A15" s="16"/>
      <c r="B15" s="205" t="s">
        <v>16</v>
      </c>
      <c r="C15" s="206"/>
      <c r="D15" s="300"/>
      <c r="E15" s="154"/>
      <c r="F15" s="154"/>
      <c r="G15" s="154"/>
      <c r="H15" s="154"/>
      <c r="I15" s="154"/>
      <c r="J15" s="154"/>
      <c r="K15" s="306"/>
      <c r="L15" s="306"/>
      <c r="M15" s="324"/>
      <c r="N15" s="199"/>
    </row>
    <row r="16" spans="1:15">
      <c r="A16" s="16"/>
      <c r="B16" s="207" t="s">
        <v>112</v>
      </c>
      <c r="C16" s="206"/>
      <c r="D16" s="198"/>
      <c r="E16" s="198"/>
      <c r="F16" s="198"/>
      <c r="G16" s="198"/>
      <c r="H16" s="198"/>
      <c r="I16" s="198"/>
      <c r="J16" s="198">
        <f>'APPENDIX 1 - viability app'!I81</f>
        <v>0</v>
      </c>
      <c r="K16" s="198"/>
      <c r="L16" s="316"/>
      <c r="M16" s="325"/>
      <c r="N16" s="280">
        <f>SUM(D16:M16)</f>
        <v>0</v>
      </c>
    </row>
    <row r="17" spans="1:14">
      <c r="A17" s="16"/>
      <c r="B17" s="207" t="s">
        <v>113</v>
      </c>
      <c r="C17" s="206"/>
      <c r="D17" s="198">
        <f>'APPENDIX 1 - viability app'!I82*0.6</f>
        <v>154628.30915999998</v>
      </c>
      <c r="E17" s="198">
        <f>'APPENDIX 1 - viability app'!I82*0.075</f>
        <v>19328.538644999997</v>
      </c>
      <c r="F17" s="198">
        <f>'APPENDIX 1 - viability app'!I82*0.075</f>
        <v>19328.538644999997</v>
      </c>
      <c r="G17" s="198">
        <f>'APPENDIX 1 - viability app'!I82*0.075</f>
        <v>19328.538644999997</v>
      </c>
      <c r="H17" s="198">
        <f>'APPENDIX 1 - viability app'!I82*0.075</f>
        <v>19328.538644999997</v>
      </c>
      <c r="I17" s="198">
        <f>'APPENDIX 1 - viability app'!I82*0.075</f>
        <v>19328.538644999997</v>
      </c>
      <c r="J17" s="198">
        <f>'APPENDIX 1 - viability app'!I82*0.025</f>
        <v>6442.8462149999996</v>
      </c>
      <c r="K17" s="198"/>
      <c r="L17" s="316"/>
      <c r="M17" s="325"/>
      <c r="N17" s="280">
        <f>SUM(D17:M17)</f>
        <v>257713.84859999994</v>
      </c>
    </row>
    <row r="18" spans="1:14" ht="15" thickBot="1">
      <c r="A18" s="16"/>
      <c r="B18" s="211" t="s">
        <v>56</v>
      </c>
      <c r="C18" s="212"/>
      <c r="D18" s="326"/>
      <c r="E18" s="197"/>
      <c r="F18" s="197"/>
      <c r="G18" s="197">
        <f>((SUM('APPENDIX 1 - viability app'!I84:I86))/'APPENDIX 1 - viability app'!E5)*G9</f>
        <v>27945</v>
      </c>
      <c r="H18" s="197">
        <f>((SUM('APPENDIX 1 - viability app'!I84:I86))/'APPENDIX 1 - viability app'!E5)*H9</f>
        <v>27945</v>
      </c>
      <c r="I18" s="197">
        <f>((SUM('APPENDIX 1 - viability app'!I84:I86))/'APPENDIX 1 - viability app'!E5)*I9</f>
        <v>27945</v>
      </c>
      <c r="J18" s="197">
        <f>((SUM('APPENDIX 1 - viability app'!I84:I86))/'APPENDIX 1 - viability app'!E5)*J9</f>
        <v>27945</v>
      </c>
      <c r="K18" s="197">
        <f>((SUM('APPENDIX 1 - viability app'!I84:I86))/'APPENDIX 1 - viability app'!E5)*K9</f>
        <v>27945</v>
      </c>
      <c r="L18" s="197">
        <f>((SUM('APPENDIX 1 - viability app'!I84:I86))/'APPENDIX 1 - viability app'!E5)*L9</f>
        <v>9315</v>
      </c>
      <c r="M18" s="213"/>
      <c r="N18" s="280">
        <f>SUM(D18:M18)</f>
        <v>149040</v>
      </c>
    </row>
    <row r="19" spans="1:14" ht="15.75" thickBot="1">
      <c r="N19" s="199"/>
    </row>
    <row r="20" spans="1:14">
      <c r="B20" s="214" t="s">
        <v>57</v>
      </c>
      <c r="C20" s="215">
        <v>0.06</v>
      </c>
      <c r="D20" s="216"/>
      <c r="E20" s="216">
        <f>-(D22*$C$20)/4</f>
        <v>8551.9246373999995</v>
      </c>
      <c r="F20" s="216">
        <f>-(E22*$C$20)/4</f>
        <v>21050.468239760994</v>
      </c>
      <c r="G20" s="216">
        <f>-(F22*$C$20)/4</f>
        <v>33736.489996157412</v>
      </c>
      <c r="H20" s="216">
        <f>-(G22*$C$20)/4</f>
        <v>28598.852078899767</v>
      </c>
      <c r="I20" s="216">
        <f t="shared" ref="I20:K20" si="0">-(H22*$C$20)/4</f>
        <v>23384.149592883259</v>
      </c>
      <c r="J20" s="216">
        <f t="shared" si="0"/>
        <v>18091.226569576505</v>
      </c>
      <c r="K20" s="216">
        <f t="shared" si="0"/>
        <v>4472.0665457201567</v>
      </c>
      <c r="L20" s="216"/>
      <c r="M20" s="216"/>
      <c r="N20" s="317">
        <f>SUM(D20:M20)</f>
        <v>137885.1776603981</v>
      </c>
    </row>
    <row r="21" spans="1:14" ht="15">
      <c r="B21" s="217" t="s">
        <v>58</v>
      </c>
      <c r="C21" s="64"/>
      <c r="D21" s="218">
        <f>(SUM(D10:D10))-(SUM(D13:D18))</f>
        <v>-570128.30915999995</v>
      </c>
      <c r="E21" s="218">
        <f t="shared" ref="E21:M21" si="1">(SUM(E10:E10))-(SUM(E13:E18))-E20</f>
        <v>-833236.24015739979</v>
      </c>
      <c r="F21" s="218">
        <f t="shared" si="1"/>
        <v>-845734.78375976079</v>
      </c>
      <c r="G21" s="218">
        <f t="shared" si="1"/>
        <v>342509.19448384276</v>
      </c>
      <c r="H21" s="218">
        <f t="shared" si="1"/>
        <v>347646.83240110043</v>
      </c>
      <c r="I21" s="218">
        <f t="shared" si="1"/>
        <v>352861.53488711693</v>
      </c>
      <c r="J21" s="218">
        <f t="shared" si="1"/>
        <v>907944.0015904234</v>
      </c>
      <c r="K21" s="218">
        <f t="shared" si="1"/>
        <v>1196457.9334542798</v>
      </c>
      <c r="L21" s="218">
        <f t="shared" si="1"/>
        <v>400310</v>
      </c>
      <c r="M21" s="218">
        <f t="shared" si="1"/>
        <v>0</v>
      </c>
      <c r="N21" s="199">
        <f>SUM(N13:N20)</f>
        <v>5255369.8362603979</v>
      </c>
    </row>
    <row r="22" spans="1:14" ht="15" thickBot="1">
      <c r="B22" s="219" t="s">
        <v>59</v>
      </c>
      <c r="C22" s="220"/>
      <c r="D22" s="221">
        <f>D21</f>
        <v>-570128.30915999995</v>
      </c>
      <c r="E22" s="221">
        <f>D22+E21</f>
        <v>-1403364.5493173997</v>
      </c>
      <c r="F22" s="221">
        <f t="shared" ref="F22:M22" si="2">E22+F21</f>
        <v>-2249099.3330771606</v>
      </c>
      <c r="G22" s="221">
        <f t="shared" si="2"/>
        <v>-1906590.1385933179</v>
      </c>
      <c r="H22" s="221">
        <f t="shared" si="2"/>
        <v>-1558943.3061922174</v>
      </c>
      <c r="I22" s="221">
        <f t="shared" si="2"/>
        <v>-1206081.7713051005</v>
      </c>
      <c r="J22" s="221">
        <f t="shared" si="2"/>
        <v>-298137.76971467712</v>
      </c>
      <c r="K22" s="221">
        <f t="shared" si="2"/>
        <v>898320.16373960266</v>
      </c>
      <c r="L22" s="221">
        <f t="shared" si="2"/>
        <v>1298630.1637396025</v>
      </c>
      <c r="M22" s="318">
        <f t="shared" si="2"/>
        <v>1298630.1637396025</v>
      </c>
    </row>
    <row r="23" spans="1:14" ht="15" thickBot="1"/>
    <row r="24" spans="1:14" ht="15.75" thickBot="1">
      <c r="C24" s="319" t="s">
        <v>60</v>
      </c>
      <c r="D24" s="320">
        <f>N20</f>
        <v>137885.1776603981</v>
      </c>
    </row>
    <row r="25" spans="1:14" ht="15.75" thickBot="1">
      <c r="C25" s="222" t="s">
        <v>61</v>
      </c>
      <c r="D25" s="223">
        <f>M22</f>
        <v>1298630.1637396025</v>
      </c>
      <c r="E25" s="222" t="s">
        <v>62</v>
      </c>
      <c r="F25" s="224">
        <f>D25/N11</f>
        <v>0.19814314368928937</v>
      </c>
      <c r="H25" s="321"/>
      <c r="I25" s="1"/>
    </row>
  </sheetData>
  <mergeCells count="3">
    <mergeCell ref="D1:L1"/>
    <mergeCell ref="G4:L4"/>
    <mergeCell ref="E5:J5"/>
  </mergeCells>
  <pageMargins left="0.7" right="0.7" top="0.75" bottom="0.75" header="0.3" footer="0.3"/>
  <pageSetup paperSize="9"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Flare_x0020_Ref_x002e_ xmlns="2fa32780-6dac-4d54-a967-56e322fcb972" xsi:nil="true"/>
    <FileNumber xmlns="986d1f0a-350b-4335-80c1-19a5091b13ca" xsi:nil="true"/>
    <Postcode xmlns="2fa32780-6dac-4d54-a967-56e322fcb972" xsi:nil="true"/>
    <FileName xmlns="986d1f0a-350b-4335-80c1-19a5091b13ca" xsi:nil="true"/>
    <Compressed xmlns="986d1f0a-350b-4335-80c1-19a5091b13ca">false</Compressed>
    <Details xmlns="2fa32780-6dac-4d54-a967-56e322fcb972" xsi:nil="true"/>
    <ScanFile xmlns="986d1f0a-350b-4335-80c1-19a5091b13ca" xsi:nil="true"/>
    <Info_x0020_Type xmlns="2fa32780-6dac-4d54-a967-56e322fcb972" xsi:nil="true"/>
    <Addr1 xmlns="2fa32780-6dac-4d54-a967-56e322fcb972" xsi:nil="true"/>
    <Addr2 xmlns="2fa32780-6dac-4d54-a967-56e322fcb97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>http://ecentral/PandP/SharedDocuments/Forms/Document/PandPDocProperties.xsn</xsnLocation>
  <cached>True</cached>
  <openByDefault>False</openByDefault>
  <xsnScope>http://ecentral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53B9C429B514F988B7485FDA5CF5F" ma:contentTypeVersion="26" ma:contentTypeDescription="Create a new document." ma:contentTypeScope="" ma:versionID="d3e10b3599a8b4586c7c71dcccefde03">
  <xsd:schema xmlns:xsd="http://www.w3.org/2001/XMLSchema" xmlns:p="http://schemas.microsoft.com/office/2006/metadata/properties" xmlns:ns2="2fa32780-6dac-4d54-a967-56e322fcb972" xmlns:ns3="986d1f0a-350b-4335-80c1-19a5091b13ca" targetNamespace="http://schemas.microsoft.com/office/2006/metadata/properties" ma:root="true" ma:fieldsID="eb9d55c6680f521dfce38022fa7eb633" ns2:_="" ns3:_="">
    <xsd:import namespace="2fa32780-6dac-4d54-a967-56e322fcb972"/>
    <xsd:import namespace="986d1f0a-350b-4335-80c1-19a5091b13ca"/>
    <xsd:element name="properties">
      <xsd:complexType>
        <xsd:sequence>
          <xsd:element name="documentManagement">
            <xsd:complexType>
              <xsd:all>
                <xsd:element ref="ns2:Info_x0020_Type" minOccurs="0"/>
                <xsd:element ref="ns2:Flare_x0020_Ref_x002e_" minOccurs="0"/>
                <xsd:element ref="ns2:Details" minOccurs="0"/>
                <xsd:element ref="ns2:Addr1" minOccurs="0"/>
                <xsd:element ref="ns2:Addr2" minOccurs="0"/>
                <xsd:element ref="ns2:Postcode" minOccurs="0"/>
                <xsd:element ref="ns3:FileNumber" minOccurs="0"/>
                <xsd:element ref="ns3:FileName" minOccurs="0"/>
                <xsd:element ref="ns3:ScanFile" minOccurs="0"/>
                <xsd:element ref="ns3:Compress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fa32780-6dac-4d54-a967-56e322fcb972" elementFormDefault="qualified">
    <xsd:import namespace="http://schemas.microsoft.com/office/2006/documentManagement/types"/>
    <xsd:element name="Info_x0020_Type" ma:index="1" nillable="true" ma:displayName="Info Type" ma:default="" ma:format="Dropdown" ma:internalName="Info_x0020_Type">
      <xsd:simpleType>
        <xsd:union memberTypes="dms:Text">
          <xsd:simpleType>
            <xsd:restriction base="dms:Choice">
              <xsd:enumeration value="*"/>
              <xsd:enumeration value="Dogs"/>
              <xsd:enumeration value="F.O.I."/>
              <xsd:enumeration value="Licensing"/>
              <xsd:enumeration value="Noise"/>
              <xsd:enumeration value="Nuisance Ex Noise"/>
              <xsd:enumeration value="Permit"/>
              <xsd:enumeration value="Planning"/>
              <xsd:enumeration value="Private Water Supplies"/>
              <xsd:enumeration value="Variations"/>
              <xsd:enumeration value="Visit or inspections"/>
            </xsd:restriction>
          </xsd:simpleType>
        </xsd:union>
      </xsd:simpleType>
    </xsd:element>
    <xsd:element name="Flare_x0020_Ref_x002e_" ma:index="2" nillable="true" ma:displayName="Flare Ref." ma:internalName="Flare_x0020_Ref_x002e_">
      <xsd:simpleType>
        <xsd:restriction base="dms:Text">
          <xsd:maxLength value="20"/>
        </xsd:restriction>
      </xsd:simpleType>
    </xsd:element>
    <xsd:element name="Details" ma:index="3" nillable="true" ma:displayName="Details" ma:internalName="Details">
      <xsd:simpleType>
        <xsd:restriction base="dms:Text">
          <xsd:maxLength value="255"/>
        </xsd:restriction>
      </xsd:simpleType>
    </xsd:element>
    <xsd:element name="Addr1" ma:index="4" nillable="true" ma:displayName="Addr1" ma:default="" ma:internalName="Addr1">
      <xsd:simpleType>
        <xsd:restriction base="dms:Text">
          <xsd:maxLength value="255"/>
        </xsd:restriction>
      </xsd:simpleType>
    </xsd:element>
    <xsd:element name="Addr2" ma:index="5" nillable="true" ma:displayName="Addr2" ma:internalName="Addr2">
      <xsd:simpleType>
        <xsd:restriction base="dms:Text">
          <xsd:maxLength value="255"/>
        </xsd:restriction>
      </xsd:simpleType>
    </xsd:element>
    <xsd:element name="Postcode" ma:index="6" nillable="true" ma:displayName="Postcode" ma:internalName="Postcode">
      <xsd:simpleType>
        <xsd:restriction base="dms:Text">
          <xsd:maxLength value="10"/>
        </xsd:restriction>
      </xsd:simpleType>
    </xsd:element>
  </xsd:schema>
  <xsd:schema xmlns:xsd="http://www.w3.org/2001/XMLSchema" xmlns:dms="http://schemas.microsoft.com/office/2006/documentManagement/types" targetNamespace="986d1f0a-350b-4335-80c1-19a5091b13ca" elementFormDefault="qualified">
    <xsd:import namespace="http://schemas.microsoft.com/office/2006/documentManagement/types"/>
    <xsd:element name="FileNumber" ma:index="8" nillable="true" ma:displayName="FileNumber" ma:description="original folder name" ma:hidden="true" ma:internalName="FileNumber" ma:readOnly="false">
      <xsd:simpleType>
        <xsd:restriction base="dms:Text">
          <xsd:maxLength value="255"/>
        </xsd:restriction>
      </xsd:simpleType>
    </xsd:element>
    <xsd:element name="FileName" ma:index="9" nillable="true" ma:displayName="FileName" ma:description="original file name" ma:hidden="true" ma:internalName="FileName" ma:readOnly="false">
      <xsd:simpleType>
        <xsd:restriction base="dms:Text">
          <xsd:maxLength value="255"/>
        </xsd:restriction>
      </xsd:simpleType>
    </xsd:element>
    <xsd:element name="ScanFile" ma:index="10" nillable="true" ma:displayName="ScanFile" ma:description="date scanned to Scanfile" ma:format="DateOnly" ma:hidden="true" ma:internalName="ScanFile" ma:readOnly="false">
      <xsd:simpleType>
        <xsd:restriction base="dms:DateTime"/>
      </xsd:simpleType>
    </xsd:element>
    <xsd:element name="Compressed" ma:index="11" nillable="true" ma:displayName="Compressed" ma:default="0" ma:hidden="true" ma:internalName="Compress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76CA43-06CB-4BD1-976D-C19E7AA3F1A3}">
  <ds:schemaRefs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986d1f0a-350b-4335-80c1-19a5091b13ca"/>
    <ds:schemaRef ds:uri="http://schemas.microsoft.com/office/2006/documentManagement/types"/>
    <ds:schemaRef ds:uri="2fa32780-6dac-4d54-a967-56e322fcb972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262A14B-2D0A-4979-AF04-9088DE28FE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4E33E6-DA97-4594-A089-EBFA249CE4CE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35861643-744F-4974-B920-A3374383E5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32780-6dac-4d54-a967-56e322fcb972"/>
    <ds:schemaRef ds:uri="986d1f0a-350b-4335-80c1-19a5091b13c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APPENDIX 1 - viability app</vt:lpstr>
      <vt:lpstr>APPENDIX 2 - cash flow</vt:lpstr>
      <vt:lpstr>'APPENDIX 1 - viability app'!Print_Area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Messenger (LSH)</dc:creator>
  <cp:lastModifiedBy>Messenger Matthew</cp:lastModifiedBy>
  <cp:lastPrinted>2016-10-31T15:26:33Z</cp:lastPrinted>
  <dcterms:created xsi:type="dcterms:W3CDTF">2011-11-28T16:26:43Z</dcterms:created>
  <dcterms:modified xsi:type="dcterms:W3CDTF">2018-02-23T10:27:05Z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lare Ref.">
    <vt:lpwstr/>
  </property>
  <property fmtid="{D5CDD505-2E9C-101B-9397-08002B2CF9AE}" pid="3" name="FileNumber">
    <vt:lpwstr/>
  </property>
  <property fmtid="{D5CDD505-2E9C-101B-9397-08002B2CF9AE}" pid="4" name="Postcode">
    <vt:lpwstr/>
  </property>
  <property fmtid="{D5CDD505-2E9C-101B-9397-08002B2CF9AE}" pid="5" name="FileName">
    <vt:lpwstr/>
  </property>
  <property fmtid="{D5CDD505-2E9C-101B-9397-08002B2CF9AE}" pid="6" name="Compressed">
    <vt:lpwstr>0</vt:lpwstr>
  </property>
  <property fmtid="{D5CDD505-2E9C-101B-9397-08002B2CF9AE}" pid="7" name="Details">
    <vt:lpwstr/>
  </property>
  <property fmtid="{D5CDD505-2E9C-101B-9397-08002B2CF9AE}" pid="8" name="ScanFile">
    <vt:lpwstr/>
  </property>
  <property fmtid="{D5CDD505-2E9C-101B-9397-08002B2CF9AE}" pid="9" name="Info Type">
    <vt:lpwstr/>
  </property>
  <property fmtid="{D5CDD505-2E9C-101B-9397-08002B2CF9AE}" pid="10" name="Addr1">
    <vt:lpwstr/>
  </property>
  <property fmtid="{D5CDD505-2E9C-101B-9397-08002B2CF9AE}" pid="11" name="Addr2">
    <vt:lpwstr/>
  </property>
</Properties>
</file>